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1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nterbourneparishcouncil-my.sharepoint.com/personal/clerk_winterbourneparishcouncil_onmicrosoft_com/Documents/WPC Document Hub/Finance &amp; HR/Financial Reserves/"/>
    </mc:Choice>
  </mc:AlternateContent>
  <xr:revisionPtr revIDLastSave="2" documentId="11_A97F1AFE4642EDD14F0BEBF381D026B4A3E88F87" xr6:coauthVersionLast="47" xr6:coauthVersionMax="47" xr10:uidLastSave="{9D6EFCE2-2B91-8D41-B2E4-CCEF65694779}"/>
  <bookViews>
    <workbookView xWindow="360" yWindow="500" windowWidth="23320" windowHeight="9980" xr2:uid="{00000000-000D-0000-FFFF-FFFF00000000}"/>
  </bookViews>
  <sheets>
    <sheet name="Apr 2025 draft" sheetId="8" r:id="rId1"/>
    <sheet name="Apr 2024" sheetId="7" r:id="rId2"/>
    <sheet name="Apr 2023" sheetId="6" r:id="rId3"/>
    <sheet name="Apr 2022" sheetId="5" r:id="rId4"/>
    <sheet name="Apr 2021" sheetId="4" r:id="rId5"/>
    <sheet name="Apr 2020" sheetId="1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8" l="1"/>
  <c r="G16" i="8" s="1"/>
  <c r="C43" i="8"/>
  <c r="G30" i="8"/>
  <c r="I30" i="8" s="1"/>
  <c r="G25" i="8"/>
  <c r="G26" i="8" s="1"/>
  <c r="C22" i="8"/>
  <c r="G21" i="8"/>
  <c r="G20" i="8"/>
  <c r="G19" i="8"/>
  <c r="G18" i="8"/>
  <c r="G15" i="8"/>
  <c r="G12" i="8"/>
  <c r="G8" i="8"/>
  <c r="H5" i="8"/>
  <c r="G13" i="8" l="1"/>
  <c r="I13" i="8" s="1"/>
  <c r="F8" i="7"/>
  <c r="H13" i="8" l="1"/>
  <c r="G21" i="7"/>
  <c r="G16" i="7"/>
  <c r="G18" i="7"/>
  <c r="G19" i="7"/>
  <c r="G20" i="7"/>
  <c r="G15" i="7"/>
  <c r="G30" i="7" l="1"/>
  <c r="G25" i="7"/>
  <c r="G26" i="7" s="1"/>
  <c r="G16" i="6" l="1"/>
  <c r="G18" i="6"/>
  <c r="G19" i="6"/>
  <c r="G20" i="6"/>
  <c r="G21" i="6"/>
  <c r="G22" i="6"/>
  <c r="G8" i="7" l="1"/>
  <c r="F17" i="7" l="1"/>
  <c r="C22" i="7"/>
  <c r="J17" i="7"/>
  <c r="G12" i="7"/>
  <c r="G7" i="7"/>
  <c r="H5" i="7"/>
  <c r="G13" i="7" l="1"/>
  <c r="I13" i="7" s="1"/>
  <c r="G22" i="7"/>
  <c r="I22" i="7" s="1"/>
  <c r="J25" i="7"/>
  <c r="J32" i="7" s="1"/>
  <c r="J16" i="6"/>
  <c r="G8" i="6"/>
  <c r="G9" i="6"/>
  <c r="H13" i="7" l="1"/>
  <c r="H22" i="7" s="1"/>
  <c r="H26" i="7" s="1"/>
  <c r="I30" i="7" s="1"/>
  <c r="I32" i="7" s="1"/>
  <c r="H5" i="6"/>
  <c r="H30" i="7" l="1"/>
  <c r="H32" i="7" s="1"/>
  <c r="J18" i="6"/>
  <c r="G30" i="6"/>
  <c r="E26" i="6"/>
  <c r="C23" i="6"/>
  <c r="G13" i="6"/>
  <c r="G12" i="6"/>
  <c r="G26" i="6" l="1"/>
  <c r="G23" i="6"/>
  <c r="I23" i="6" s="1"/>
  <c r="G15" i="5"/>
  <c r="G27" i="6" l="1"/>
  <c r="J26" i="6"/>
  <c r="J33" i="6" s="1"/>
  <c r="G12" i="5"/>
  <c r="G17" i="5"/>
  <c r="G7" i="5"/>
  <c r="G16" i="5"/>
  <c r="E21" i="5" l="1"/>
  <c r="C18" i="5" l="1"/>
  <c r="G21" i="5" l="1"/>
  <c r="G22" i="5" s="1"/>
  <c r="G13" i="5"/>
  <c r="E13" i="4"/>
  <c r="G25" i="5"/>
  <c r="G14" i="5"/>
  <c r="G9" i="5"/>
  <c r="G8" i="5"/>
  <c r="G18" i="5" l="1"/>
  <c r="I18" i="5" s="1"/>
  <c r="G10" i="5"/>
  <c r="I10" i="5" s="1"/>
  <c r="H10" i="5" l="1"/>
  <c r="H18" i="5" s="1"/>
  <c r="H22" i="5" s="1"/>
  <c r="E19" i="4"/>
  <c r="D19" i="4"/>
  <c r="G26" i="5" l="1"/>
  <c r="I26" i="5" s="1"/>
  <c r="I28" i="5" s="1"/>
  <c r="E12" i="4"/>
  <c r="F8" i="4"/>
  <c r="H26" i="5" l="1"/>
  <c r="H28" i="5" s="1"/>
  <c r="F14" i="4"/>
  <c r="F23" i="4" l="1"/>
  <c r="F13" i="4"/>
  <c r="F12" i="4"/>
  <c r="F9" i="4"/>
  <c r="F10" i="4" s="1"/>
  <c r="H10" i="4" s="1"/>
  <c r="G5" i="4"/>
  <c r="F16" i="4" l="1"/>
  <c r="H16" i="4" s="1"/>
  <c r="F19" i="4"/>
  <c r="F20" i="4" s="1"/>
  <c r="D19" i="1"/>
  <c r="F9" i="1"/>
  <c r="G5" i="1" s="1"/>
  <c r="F14" i="1"/>
  <c r="F13" i="1"/>
  <c r="F7" i="1"/>
  <c r="F8" i="1"/>
  <c r="F10" i="1"/>
  <c r="G10" i="4" l="1"/>
  <c r="G16" i="4" s="1"/>
  <c r="G20" i="4" s="1"/>
  <c r="F11" i="1"/>
  <c r="E19" i="1" s="1"/>
  <c r="F23" i="1"/>
  <c r="F25" i="4" l="1"/>
  <c r="F19" i="1"/>
  <c r="F20" i="1" s="1"/>
  <c r="F16" i="1"/>
  <c r="G25" i="4" l="1"/>
  <c r="G27" i="4" s="1"/>
  <c r="H25" i="4"/>
  <c r="H27" i="4" s="1"/>
  <c r="G11" i="1"/>
  <c r="G16" i="1" s="1"/>
  <c r="G20" i="1" s="1"/>
  <c r="F25" i="1" s="1"/>
  <c r="G25" i="1" l="1"/>
  <c r="G27" i="1" s="1"/>
  <c r="G17" i="8" l="1"/>
  <c r="J25" i="8" l="1"/>
  <c r="J32" i="8" s="1"/>
  <c r="G22" i="8"/>
  <c r="H22" i="8" l="1"/>
  <c r="H26" i="8" s="1"/>
  <c r="H30" i="8" s="1"/>
  <c r="H32" i="8" s="1"/>
  <c r="I22" i="8"/>
  <c r="I32" i="8" s="1"/>
  <c r="G7" i="6"/>
  <c r="G14" i="6" s="1"/>
  <c r="H14" i="6" l="1"/>
  <c r="H23" i="6" s="1"/>
  <c r="H27" i="6" s="1"/>
  <c r="I14" i="6"/>
  <c r="G31" i="6" l="1"/>
  <c r="I31" i="6" s="1"/>
  <c r="I33" i="6" s="1"/>
  <c r="H31" i="6" l="1"/>
  <c r="H33" i="6" s="1"/>
</calcChain>
</file>

<file path=xl/sharedStrings.xml><?xml version="1.0" encoding="utf-8"?>
<sst xmlns="http://schemas.openxmlformats.org/spreadsheetml/2006/main" count="245" uniqueCount="132">
  <si>
    <t>Winterbourne Parish Council Financial Reserves Summary April 2025 (draft pending year-end account closure)</t>
  </si>
  <si>
    <t>Target (maximum)</t>
  </si>
  <si>
    <t>Balance c/f</t>
  </si>
  <si>
    <t>24/5 income or budget</t>
  </si>
  <si>
    <t>24/5 spend</t>
  </si>
  <si>
    <t>Balance</t>
  </si>
  <si>
    <t>Cash Balance</t>
  </si>
  <si>
    <t>Reserves</t>
  </si>
  <si>
    <t>24/5 addnl planned spend*</t>
  </si>
  <si>
    <t>Intended allocation to 23-24 budget as budget will exceed applicable income</t>
  </si>
  <si>
    <t>Bank Balance year end ( 31 March 2025)</t>
  </si>
  <si>
    <t>note 1</t>
  </si>
  <si>
    <t>note 2</t>
  </si>
  <si>
    <t>D+E-F</t>
  </si>
  <si>
    <t>CIL</t>
  </si>
  <si>
    <t>19/01578/FUL</t>
  </si>
  <si>
    <t>listed in order of receipt</t>
  </si>
  <si>
    <t>19/01580/FUL</t>
  </si>
  <si>
    <t>Wiltshire Council well-being grant</t>
  </si>
  <si>
    <t>Total Specified Funds</t>
  </si>
  <si>
    <t>Glebe Hall, Lands &amp; Car Park</t>
  </si>
  <si>
    <t>Infrastructure fund</t>
  </si>
  <si>
    <t>transfer of £2356 CIL money from specified to earmarked</t>
  </si>
  <si>
    <t>Allotment Site</t>
  </si>
  <si>
    <t>Negative balance of £2,908 "charged" to infrastructure reserve</t>
  </si>
  <si>
    <t>Local election costs</t>
  </si>
  <si>
    <t>Tree surgery</t>
  </si>
  <si>
    <t>Sport &amp; recreation</t>
  </si>
  <si>
    <t>Other</t>
  </si>
  <si>
    <t>reduced to target figure c21 to provide more working capital</t>
  </si>
  <si>
    <t>25/6 budget</t>
  </si>
  <si>
    <t>25/6 income</t>
  </si>
  <si>
    <t>25/6 spend</t>
  </si>
  <si>
    <t xml:space="preserve"> </t>
  </si>
  <si>
    <t>net spend: from budget sheet=total net costs less income</t>
  </si>
  <si>
    <t>Allocation to 25/6 budget</t>
  </si>
  <si>
    <t>Precept 2025/6</t>
  </si>
  <si>
    <t>Planned financial reserve</t>
  </si>
  <si>
    <t>In line with recommended practice for parish councils</t>
  </si>
  <si>
    <t>Actual Financial Reserve</t>
  </si>
  <si>
    <t>Net unallocated funds</t>
  </si>
  <si>
    <t>If H30 negative, indicates need to draw on earmarked or specified reserves</t>
  </si>
  <si>
    <t>balances carried forward are in effect the reserves as at previous year end</t>
  </si>
  <si>
    <t>Note 2 Calculation of reserves used in financial year 24/25</t>
  </si>
  <si>
    <t>Expenditure E</t>
  </si>
  <si>
    <t>Income I</t>
  </si>
  <si>
    <t>Net surplus (deficit) N</t>
  </si>
  <si>
    <t>I-E</t>
  </si>
  <si>
    <t>If N &lt;0 attribute to:</t>
  </si>
  <si>
    <t>Unallocated funds April 24 U</t>
  </si>
  <si>
    <t>Reserves April 24</t>
  </si>
  <si>
    <t>Reserves used 2024/2025</t>
  </si>
  <si>
    <t xml:space="preserve">Winterbourne Parish Council Financial Reserves Summary April 2024 </t>
  </si>
  <si>
    <t>23/4 income or budget</t>
  </si>
  <si>
    <t>23/4 spend</t>
  </si>
  <si>
    <t>Bank Balance year end ( 31 March 2024)</t>
  </si>
  <si>
    <t>transfer of £5775 CIL money from specified to earmarked</t>
  </si>
  <si>
    <t>Total Earmarked Funds</t>
  </si>
  <si>
    <t>24/5 budget</t>
  </si>
  <si>
    <t>24/5 income</t>
  </si>
  <si>
    <t>Allocation to 24/25 budget</t>
  </si>
  <si>
    <t>Precept 2024/5</t>
  </si>
  <si>
    <t>Winterbourne Parish Council Financial Reserves Summary to Apr 23 (draft pending year-end account closure)</t>
  </si>
  <si>
    <t>22/23 income or budget</t>
  </si>
  <si>
    <t>22/3 spend</t>
  </si>
  <si>
    <t>23/24 addnl planned spend*</t>
  </si>
  <si>
    <t>Bank Balance year end ( 31 March 2023)</t>
  </si>
  <si>
    <t xml:space="preserve">18/09807/FUL </t>
  </si>
  <si>
    <t xml:space="preserve">PL/2021/07436 </t>
  </si>
  <si>
    <t>PL/2022/00941</t>
  </si>
  <si>
    <t>Wiltshire Council Area Board grant</t>
  </si>
  <si>
    <t>received March 2021</t>
  </si>
  <si>
    <t>*</t>
  </si>
  <si>
    <t>Glebe Lands &amp; Hall Car Park</t>
  </si>
  <si>
    <t>Allows for transfer of CIL money from specified to earmarked</t>
  </si>
  <si>
    <t>change from budgeting to reserve fund. c/f unspent from 20/21.</t>
  </si>
  <si>
    <t>ad hoc maintenance &amp; repair</t>
  </si>
  <si>
    <t>23/24 budget</t>
  </si>
  <si>
    <t>23/24 income*</t>
  </si>
  <si>
    <t>23/24 net spend</t>
  </si>
  <si>
    <t>* income: precept</t>
  </si>
  <si>
    <t>Allocation to 23/24 budget</t>
  </si>
  <si>
    <t>Precept 2023/24</t>
  </si>
  <si>
    <t>Winterbourne Parish Council Financial Reserves Summary April 2022 (draft pending year-end account audits)</t>
  </si>
  <si>
    <t>21/22 income or budget</t>
  </si>
  <si>
    <t>21/22 spend</t>
  </si>
  <si>
    <t>22/23 addnl planned spend*</t>
  </si>
  <si>
    <t>*planned expenditure not included in 22/23 budget
i.e. additional budget allocation for the year</t>
  </si>
  <si>
    <t>Bank Balance year end ( 31 March 2022)</t>
  </si>
  <si>
    <t>not yet received</t>
  </si>
  <si>
    <t>transfer £5000 to tree surgery reserve</t>
  </si>
  <si>
    <t>includes £5000 from Car Park reserve</t>
  </si>
  <si>
    <t>22/23 budget</t>
  </si>
  <si>
    <t>22/23 income*</t>
  </si>
  <si>
    <t>22/23 net spend</t>
  </si>
  <si>
    <t>net spend: from budget sheet=costs-non-precept income-VAT rebate balance</t>
  </si>
  <si>
    <t>Allocation to 22/23 budget</t>
  </si>
  <si>
    <t>Precept 2022/23</t>
  </si>
  <si>
    <t>Winterbourne Parish Council Financial Reserves Summary April 2021 (draft pending year-end account audits)</t>
  </si>
  <si>
    <t>20/21 income</t>
  </si>
  <si>
    <t>20/21 spend</t>
  </si>
  <si>
    <t>Bank Balance year end (31 March 2021)</t>
  </si>
  <si>
    <t>Net balance includes s106 funds currently held by Wilts Council</t>
  </si>
  <si>
    <t>s106</t>
  </si>
  <si>
    <t>Glebe Hall Car Park</t>
  </si>
  <si>
    <t xml:space="preserve">  </t>
  </si>
  <si>
    <t>21/22 budget</t>
  </si>
  <si>
    <t>21/22 income</t>
  </si>
  <si>
    <t>21/22 income: precept+other income+VAT recovery</t>
  </si>
  <si>
    <t>21/22 cost: budget total costs+VAT estimate+wellbeing grant</t>
  </si>
  <si>
    <t>Allocation to 21/22 budget</t>
  </si>
  <si>
    <t>Precept 2021/22</t>
  </si>
  <si>
    <t>Allocation to 21/22 budget (Covid-19)</t>
  </si>
  <si>
    <t>Winterbourne Parish Council Financial Reserves Summary April 2020</t>
  </si>
  <si>
    <t>19/20 income</t>
  </si>
  <si>
    <t>19/20 spend</t>
  </si>
  <si>
    <t>Net Cash Balance</t>
  </si>
  <si>
    <t>Bank Balance year end (31 March 2020)</t>
  </si>
  <si>
    <t>Net balance includes s106 funds</t>
  </si>
  <si>
    <t>Neighbourhood Grant</t>
  </si>
  <si>
    <t>negative balance not carried down/forward</t>
  </si>
  <si>
    <t>River Bank Project Grant</t>
  </si>
  <si>
    <t>Project closed</t>
  </si>
  <si>
    <t>s106 funds</t>
  </si>
  <si>
    <t>received April 2020</t>
  </si>
  <si>
    <t>Area Board (Noticeboards)</t>
  </si>
  <si>
    <t>sum of credit balances only</t>
  </si>
  <si>
    <t>20/21 budget</t>
  </si>
  <si>
    <t>spend for 20/21 includes all specified funds</t>
  </si>
  <si>
    <t>Allocation to 20/21 budget</t>
  </si>
  <si>
    <t>Precept 2020/21</t>
  </si>
  <si>
    <t>Allocation to 20/21 budget (Covid-19)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</si>
</sst>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;[Red]\-&quot;£&quot;#,##0"/>
    <numFmt numFmtId="165" formatCode="&quot;£&quot;#,##0.00;[Red]\-&quot;£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1" fillId="0" borderId="1" xfId="0" applyNumberFormat="1" applyFont="1" applyBorder="1"/>
    <xf numFmtId="164" fontId="0" fillId="0" borderId="1" xfId="0" applyNumberFormat="1" applyBorder="1"/>
    <xf numFmtId="0" fontId="0" fillId="2" borderId="1" xfId="0" applyFill="1" applyBorder="1"/>
    <xf numFmtId="164" fontId="0" fillId="2" borderId="1" xfId="0" applyNumberFormat="1" applyFill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0" fillId="5" borderId="1" xfId="0" applyFill="1" applyBorder="1"/>
    <xf numFmtId="0" fontId="0" fillId="5" borderId="1" xfId="0" applyFill="1" applyBorder="1" applyAlignment="1">
      <alignment horizontal="left"/>
    </xf>
    <xf numFmtId="164" fontId="0" fillId="5" borderId="1" xfId="0" applyNumberFormat="1" applyFill="1" applyBorder="1"/>
    <xf numFmtId="0" fontId="1" fillId="5" borderId="1" xfId="0" applyFont="1" applyFill="1" applyBorder="1"/>
    <xf numFmtId="164" fontId="1" fillId="5" borderId="1" xfId="0" applyNumberFormat="1" applyFon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1" fillId="4" borderId="1" xfId="0" applyFont="1" applyFill="1" applyBorder="1"/>
    <xf numFmtId="164" fontId="1" fillId="4" borderId="1" xfId="0" applyNumberFormat="1" applyFont="1" applyFill="1" applyBorder="1"/>
    <xf numFmtId="164" fontId="1" fillId="6" borderId="1" xfId="0" applyNumberFormat="1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7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165" fontId="0" fillId="5" borderId="1" xfId="0" applyNumberFormat="1" applyFill="1" applyBorder="1"/>
    <xf numFmtId="165" fontId="0" fillId="2" borderId="1" xfId="0" applyNumberFormat="1" applyFill="1" applyBorder="1"/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0" xfId="0" applyNumberFormat="1" applyFont="1"/>
    <xf numFmtId="0" fontId="0" fillId="0" borderId="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53"/>
  <sheetViews>
    <sheetView tabSelected="1" topLeftCell="A36" workbookViewId="0">
      <selection activeCell="A25" sqref="A25"/>
    </sheetView>
  </sheetViews>
  <sheetFormatPr defaultColWidth="8.85546875" defaultRowHeight="15"/>
  <cols>
    <col min="1" max="1" width="14.28515625" customWidth="1"/>
    <col min="2" max="2" width="24.28515625" customWidth="1"/>
    <col min="3" max="3" width="18" customWidth="1"/>
    <col min="4" max="4" width="11" customWidth="1"/>
    <col min="5" max="5" width="12.28515625" customWidth="1"/>
    <col min="6" max="6" width="11.140625" customWidth="1"/>
    <col min="7" max="7" width="10.7109375" customWidth="1"/>
    <col min="8" max="8" width="12" customWidth="1"/>
    <col min="9" max="9" width="12.28515625" customWidth="1"/>
    <col min="10" max="10" width="14.7109375" customWidth="1"/>
  </cols>
  <sheetData>
    <row r="2" spans="1:15">
      <c r="A2" s="2"/>
      <c r="B2" s="26" t="s">
        <v>0</v>
      </c>
      <c r="C2" s="27"/>
      <c r="D2" s="27"/>
      <c r="E2" s="27"/>
      <c r="F2" s="27"/>
      <c r="G2" s="27"/>
      <c r="H2" s="28"/>
      <c r="I2" s="3"/>
      <c r="J2" s="27"/>
      <c r="K2" s="1"/>
    </row>
    <row r="3" spans="1:15">
      <c r="A3" s="2"/>
      <c r="B3" s="4"/>
      <c r="C3" s="4"/>
      <c r="D3" s="4"/>
      <c r="E3" s="4"/>
      <c r="F3" s="4"/>
      <c r="G3" s="4"/>
      <c r="H3" s="4"/>
      <c r="I3" s="3"/>
      <c r="J3" s="4"/>
      <c r="K3" s="1"/>
    </row>
    <row r="4" spans="1:15" s="31" customFormat="1" ht="25.5" customHeight="1">
      <c r="A4" s="30"/>
      <c r="B4" s="30"/>
      <c r="C4" s="30" t="s">
        <v>1</v>
      </c>
      <c r="D4" s="30" t="s">
        <v>2</v>
      </c>
      <c r="E4" s="32" t="s">
        <v>3</v>
      </c>
      <c r="F4" s="30" t="s">
        <v>4</v>
      </c>
      <c r="G4" s="30" t="s">
        <v>5</v>
      </c>
      <c r="H4" s="30" t="s">
        <v>6</v>
      </c>
      <c r="I4" s="30" t="s">
        <v>7</v>
      </c>
      <c r="J4" s="32" t="s">
        <v>8</v>
      </c>
      <c r="K4" s="38" t="s">
        <v>9</v>
      </c>
      <c r="L4" s="39"/>
      <c r="M4" s="39"/>
      <c r="N4" s="39"/>
      <c r="O4" s="39"/>
    </row>
    <row r="5" spans="1:15" s="1" customFormat="1">
      <c r="A5" s="3"/>
      <c r="B5" s="3" t="s">
        <v>10</v>
      </c>
      <c r="C5" s="3"/>
      <c r="D5" s="36" t="s">
        <v>11</v>
      </c>
      <c r="E5" s="6"/>
      <c r="F5" s="36" t="s">
        <v>12</v>
      </c>
      <c r="G5" s="6">
        <v>89591.55</v>
      </c>
      <c r="H5" s="6">
        <f>G5</f>
        <v>89591.55</v>
      </c>
      <c r="I5" s="3"/>
      <c r="J5" s="6"/>
      <c r="K5"/>
    </row>
    <row r="6" spans="1:15">
      <c r="A6" s="2"/>
      <c r="B6" s="2"/>
      <c r="C6" s="2"/>
      <c r="D6" s="2"/>
      <c r="E6" s="7"/>
      <c r="F6" s="7"/>
      <c r="G6" s="35" t="s">
        <v>13</v>
      </c>
      <c r="H6" s="7"/>
      <c r="I6" s="2"/>
      <c r="J6" s="7"/>
    </row>
    <row r="7" spans="1:15">
      <c r="A7" s="8"/>
      <c r="B7" s="10" t="s">
        <v>14</v>
      </c>
      <c r="C7" s="8" t="s">
        <v>15</v>
      </c>
      <c r="D7" s="9">
        <v>0</v>
      </c>
      <c r="E7" s="9"/>
      <c r="F7" s="9"/>
      <c r="G7" s="9"/>
      <c r="H7" s="7"/>
      <c r="I7" s="6"/>
      <c r="J7" s="9"/>
      <c r="K7" t="s">
        <v>16</v>
      </c>
    </row>
    <row r="8" spans="1:15">
      <c r="A8" s="8"/>
      <c r="B8" s="10"/>
      <c r="C8" s="8" t="s">
        <v>17</v>
      </c>
      <c r="D8" s="9">
        <v>2356.25</v>
      </c>
      <c r="E8" s="9"/>
      <c r="F8" s="9">
        <v>2356</v>
      </c>
      <c r="G8" s="9">
        <f>SUM(D8:E8)-F8</f>
        <v>0.25</v>
      </c>
      <c r="H8" s="7"/>
      <c r="I8" s="2"/>
      <c r="J8" s="9"/>
    </row>
    <row r="9" spans="1:15">
      <c r="A9" s="8"/>
      <c r="B9" s="10"/>
      <c r="C9" s="8"/>
      <c r="D9" s="9"/>
      <c r="E9" s="9"/>
      <c r="F9" s="9"/>
      <c r="G9" s="9"/>
      <c r="H9" s="7"/>
      <c r="I9" s="2"/>
      <c r="J9" s="9"/>
    </row>
    <row r="10" spans="1:15">
      <c r="A10" s="8"/>
      <c r="B10" s="10"/>
      <c r="C10" s="8"/>
      <c r="D10" s="9"/>
      <c r="E10" s="9"/>
      <c r="F10" s="34"/>
      <c r="G10" s="9"/>
      <c r="H10" s="7"/>
      <c r="I10" s="2"/>
      <c r="J10" s="9"/>
    </row>
    <row r="11" spans="1:15">
      <c r="A11" s="8"/>
      <c r="B11" s="10"/>
      <c r="C11" s="8"/>
      <c r="D11" s="9"/>
      <c r="E11" s="9"/>
      <c r="F11" s="9"/>
      <c r="G11" s="9"/>
      <c r="H11" s="7"/>
      <c r="I11" s="2"/>
      <c r="J11" s="9"/>
    </row>
    <row r="12" spans="1:15">
      <c r="A12" s="8"/>
      <c r="B12" s="8" t="s">
        <v>18</v>
      </c>
      <c r="C12" s="8"/>
      <c r="D12" s="9"/>
      <c r="E12" s="9">
        <v>300</v>
      </c>
      <c r="F12" s="9">
        <v>0</v>
      </c>
      <c r="G12" s="9">
        <f>SUM(D12:E12)-F12</f>
        <v>300</v>
      </c>
      <c r="H12" s="7"/>
      <c r="I12" s="2"/>
      <c r="J12" s="9">
        <v>300</v>
      </c>
    </row>
    <row r="13" spans="1:15" s="1" customFormat="1">
      <c r="A13" s="10" t="s">
        <v>19</v>
      </c>
      <c r="B13" s="10"/>
      <c r="C13" s="10"/>
      <c r="D13" s="10"/>
      <c r="E13" s="11"/>
      <c r="F13" s="11"/>
      <c r="G13" s="11">
        <f>SUM(G7:G12)</f>
        <v>300.25</v>
      </c>
      <c r="H13" s="6">
        <f>H5-G13</f>
        <v>89291.3</v>
      </c>
      <c r="I13" s="6">
        <f>G13</f>
        <v>300.25</v>
      </c>
      <c r="J13" s="11"/>
      <c r="K13"/>
    </row>
    <row r="14" spans="1:15">
      <c r="A14" s="2"/>
      <c r="B14" s="2"/>
      <c r="C14" s="2"/>
      <c r="D14" s="2"/>
      <c r="E14" s="7"/>
      <c r="F14" s="7"/>
      <c r="G14" s="7"/>
      <c r="H14" s="7"/>
      <c r="I14" s="2"/>
      <c r="J14" s="7"/>
    </row>
    <row r="15" spans="1:15">
      <c r="A15" s="12"/>
      <c r="B15" s="12" t="s">
        <v>20</v>
      </c>
      <c r="C15" s="13">
        <v>10000</v>
      </c>
      <c r="D15" s="13">
        <v>9274</v>
      </c>
      <c r="E15" s="13">
        <v>0</v>
      </c>
      <c r="F15" s="13">
        <v>623.96</v>
      </c>
      <c r="G15" s="13">
        <f>D15+E15-F15</f>
        <v>8650.0400000000009</v>
      </c>
      <c r="H15" s="7"/>
      <c r="I15" s="7"/>
      <c r="J15" s="13"/>
    </row>
    <row r="16" spans="1:15">
      <c r="A16" s="12"/>
      <c r="B16" s="12" t="s">
        <v>21</v>
      </c>
      <c r="C16" s="13"/>
      <c r="D16" s="13">
        <v>13941</v>
      </c>
      <c r="E16" s="13">
        <f>2356+2500</f>
        <v>4856</v>
      </c>
      <c r="F16" s="13">
        <v>0</v>
      </c>
      <c r="G16" s="13">
        <f t="shared" ref="G16:G20" si="0">D16+E16-F16</f>
        <v>18797</v>
      </c>
      <c r="H16" s="7"/>
      <c r="I16" s="2"/>
      <c r="J16" s="13"/>
      <c r="K16" t="s">
        <v>22</v>
      </c>
    </row>
    <row r="17" spans="1:11">
      <c r="A17" s="12"/>
      <c r="B17" s="12" t="s">
        <v>23</v>
      </c>
      <c r="C17" s="13">
        <v>3500</v>
      </c>
      <c r="D17" s="13">
        <v>0</v>
      </c>
      <c r="E17" s="13">
        <v>1496.83</v>
      </c>
      <c r="F17" s="13">
        <v>633.36</v>
      </c>
      <c r="G17" s="13">
        <f t="shared" si="0"/>
        <v>863.46999999999991</v>
      </c>
      <c r="H17" s="7"/>
      <c r="I17" s="2"/>
      <c r="J17" s="13"/>
      <c r="K17" t="s">
        <v>24</v>
      </c>
    </row>
    <row r="18" spans="1:11">
      <c r="A18" s="12"/>
      <c r="B18" s="12" t="s">
        <v>25</v>
      </c>
      <c r="C18" s="13">
        <v>5000</v>
      </c>
      <c r="D18" s="13">
        <v>4000</v>
      </c>
      <c r="E18" s="13">
        <v>1000</v>
      </c>
      <c r="F18" s="13">
        <v>0</v>
      </c>
      <c r="G18" s="13">
        <f t="shared" si="0"/>
        <v>5000</v>
      </c>
      <c r="H18" s="7"/>
      <c r="I18" s="2"/>
      <c r="J18" s="13"/>
    </row>
    <row r="19" spans="1:11">
      <c r="A19" s="12"/>
      <c r="B19" s="12" t="s">
        <v>26</v>
      </c>
      <c r="C19" s="13">
        <v>3000</v>
      </c>
      <c r="D19" s="13">
        <v>3410</v>
      </c>
      <c r="E19" s="13">
        <v>1000</v>
      </c>
      <c r="F19" s="13">
        <v>0</v>
      </c>
      <c r="G19" s="13">
        <f t="shared" si="0"/>
        <v>4410</v>
      </c>
      <c r="H19" s="7"/>
      <c r="I19" s="2"/>
      <c r="J19" s="13"/>
    </row>
    <row r="20" spans="1:11">
      <c r="A20" s="12"/>
      <c r="B20" s="12" t="s">
        <v>27</v>
      </c>
      <c r="C20" s="12"/>
      <c r="D20" s="13">
        <v>2973.34</v>
      </c>
      <c r="E20" s="13">
        <v>0</v>
      </c>
      <c r="F20" s="13">
        <v>0</v>
      </c>
      <c r="G20" s="13">
        <f t="shared" si="0"/>
        <v>2973.34</v>
      </c>
      <c r="H20" s="7"/>
      <c r="I20" s="2"/>
      <c r="J20" s="13"/>
    </row>
    <row r="21" spans="1:11">
      <c r="A21" s="12"/>
      <c r="B21" s="12" t="s">
        <v>28</v>
      </c>
      <c r="C21" s="13">
        <v>2500</v>
      </c>
      <c r="D21" s="13">
        <v>2500</v>
      </c>
      <c r="E21" s="13">
        <v>4200</v>
      </c>
      <c r="F21" s="13">
        <v>0</v>
      </c>
      <c r="G21" s="13">
        <f>IF(D21+E21-F21&gt;C21,C21,D21+E21-F21)</f>
        <v>2500</v>
      </c>
      <c r="H21" s="7"/>
      <c r="I21" s="2"/>
      <c r="J21" s="13"/>
      <c r="K21" t="s">
        <v>29</v>
      </c>
    </row>
    <row r="22" spans="1:11" s="1" customFormat="1">
      <c r="A22" s="14"/>
      <c r="B22" s="14"/>
      <c r="C22" s="15">
        <f>SUM(C15:C21)</f>
        <v>24000</v>
      </c>
      <c r="D22" s="14"/>
      <c r="E22" s="15"/>
      <c r="F22" s="15"/>
      <c r="G22" s="15">
        <f>SUM(G15:G21)</f>
        <v>43193.850000000006</v>
      </c>
      <c r="H22" s="6">
        <f>H13-G22</f>
        <v>46097.45</v>
      </c>
      <c r="I22" s="6">
        <f>G22</f>
        <v>43193.850000000006</v>
      </c>
      <c r="J22" s="15"/>
    </row>
    <row r="23" spans="1:11">
      <c r="A23" s="2"/>
      <c r="B23" s="2"/>
      <c r="C23" s="2"/>
      <c r="D23" s="2"/>
      <c r="E23" s="7"/>
      <c r="F23" s="7"/>
      <c r="G23" s="7"/>
      <c r="H23" s="7"/>
      <c r="I23" s="2"/>
      <c r="J23" s="7"/>
    </row>
    <row r="24" spans="1:11">
      <c r="A24" s="16"/>
      <c r="B24" s="17" t="s">
        <v>30</v>
      </c>
      <c r="C24" s="17"/>
      <c r="D24" s="17"/>
      <c r="E24" s="18" t="s">
        <v>31</v>
      </c>
      <c r="F24" s="18" t="s">
        <v>32</v>
      </c>
      <c r="G24" s="18"/>
      <c r="H24" s="7"/>
      <c r="I24" s="2"/>
      <c r="J24" s="18"/>
    </row>
    <row r="25" spans="1:11">
      <c r="A25" s="16" t="s">
        <v>33</v>
      </c>
      <c r="B25" s="16"/>
      <c r="C25" s="16"/>
      <c r="D25" s="16"/>
      <c r="E25" s="18">
        <v>39000</v>
      </c>
      <c r="F25" s="18">
        <v>44722</v>
      </c>
      <c r="G25" s="18">
        <f>E25-F25</f>
        <v>-5722</v>
      </c>
      <c r="H25" s="7"/>
      <c r="I25" s="2"/>
      <c r="J25" s="33">
        <f>-G25-SUM(J15:J18)</f>
        <v>5722</v>
      </c>
      <c r="K25" t="s">
        <v>34</v>
      </c>
    </row>
    <row r="26" spans="1:11" s="1" customFormat="1">
      <c r="A26" s="19"/>
      <c r="B26" s="19" t="s">
        <v>35</v>
      </c>
      <c r="C26" s="19"/>
      <c r="D26" s="19"/>
      <c r="E26" s="20"/>
      <c r="F26" s="20" t="s">
        <v>33</v>
      </c>
      <c r="G26" s="20">
        <f>-G25</f>
        <v>5722</v>
      </c>
      <c r="H26" s="6">
        <f>H22-G26</f>
        <v>40375.449999999997</v>
      </c>
      <c r="I26" s="6"/>
      <c r="J26" s="20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1">
      <c r="A28" s="21"/>
      <c r="B28" s="21" t="s">
        <v>36</v>
      </c>
      <c r="C28" s="21"/>
      <c r="D28" s="21"/>
      <c r="E28" s="22">
        <v>31500</v>
      </c>
      <c r="F28" s="22"/>
      <c r="G28" s="22"/>
      <c r="H28" s="7"/>
      <c r="I28" s="2"/>
      <c r="J28" s="22"/>
    </row>
    <row r="29" spans="1:11">
      <c r="A29" s="21"/>
      <c r="B29" s="21" t="s">
        <v>37</v>
      </c>
      <c r="C29" s="21"/>
      <c r="D29" s="21"/>
      <c r="E29" s="22"/>
      <c r="F29" s="22"/>
      <c r="G29" s="22">
        <v>31500</v>
      </c>
      <c r="H29" s="7"/>
      <c r="I29" s="2"/>
      <c r="J29" s="22"/>
      <c r="K29" t="s">
        <v>38</v>
      </c>
    </row>
    <row r="30" spans="1:11" s="1" customFormat="1">
      <c r="A30" s="23" t="s">
        <v>39</v>
      </c>
      <c r="B30" s="23"/>
      <c r="C30" s="23"/>
      <c r="D30" s="23"/>
      <c r="E30" s="24"/>
      <c r="F30" s="24"/>
      <c r="G30" s="24">
        <f>G29</f>
        <v>31500</v>
      </c>
      <c r="H30" s="6">
        <f>H26-G30</f>
        <v>8875.4499999999971</v>
      </c>
      <c r="I30" s="6">
        <f>G30</f>
        <v>31500</v>
      </c>
      <c r="J30" s="24"/>
    </row>
    <row r="31" spans="1:11">
      <c r="A31" s="2"/>
      <c r="B31" s="2"/>
      <c r="C31" s="2"/>
      <c r="D31" s="2"/>
      <c r="E31" s="7"/>
      <c r="F31" s="7"/>
      <c r="G31" s="7"/>
      <c r="H31" s="7"/>
      <c r="I31" s="2"/>
      <c r="J31" s="7"/>
    </row>
    <row r="32" spans="1:11">
      <c r="A32" s="3" t="s">
        <v>40</v>
      </c>
      <c r="B32" s="2"/>
      <c r="C32" s="2"/>
      <c r="D32" s="2"/>
      <c r="E32" s="7"/>
      <c r="F32" s="7"/>
      <c r="G32" s="7"/>
      <c r="H32" s="25">
        <f>H30</f>
        <v>8875.4499999999971</v>
      </c>
      <c r="I32" s="29">
        <f>SUM(I7:I30)</f>
        <v>74994.100000000006</v>
      </c>
      <c r="J32" s="7">
        <f>SUM(J15:J31)</f>
        <v>5722</v>
      </c>
      <c r="K32" t="s">
        <v>41</v>
      </c>
    </row>
    <row r="33" spans="1:10">
      <c r="A33" s="2"/>
      <c r="B33" s="2"/>
      <c r="C33" s="2"/>
      <c r="D33" s="2"/>
      <c r="E33" s="2"/>
      <c r="F33" s="2"/>
      <c r="G33" s="2"/>
      <c r="H33" s="2"/>
      <c r="I33" s="2"/>
      <c r="J33" s="2"/>
    </row>
    <row r="37" spans="1:10">
      <c r="A37" t="s">
        <v>11</v>
      </c>
      <c r="B37" t="s">
        <v>42</v>
      </c>
    </row>
    <row r="39" spans="1:10">
      <c r="C39" s="37"/>
    </row>
    <row r="40" spans="1:10">
      <c r="A40" t="s">
        <v>43</v>
      </c>
      <c r="C40" s="37"/>
    </row>
    <row r="41" spans="1:10">
      <c r="B41" t="s">
        <v>44</v>
      </c>
      <c r="C41" s="37">
        <v>33799.33</v>
      </c>
      <c r="D41" s="31"/>
    </row>
    <row r="42" spans="1:10">
      <c r="B42" t="s">
        <v>45</v>
      </c>
      <c r="C42" s="37">
        <v>37868.400000000001</v>
      </c>
      <c r="D42" s="31"/>
    </row>
    <row r="43" spans="1:10">
      <c r="B43" t="s">
        <v>46</v>
      </c>
      <c r="C43" s="37">
        <f>C42-C41</f>
        <v>4069.0699999999997</v>
      </c>
      <c r="D43" s="31" t="s">
        <v>47</v>
      </c>
    </row>
    <row r="44" spans="1:10">
      <c r="C44" s="37"/>
    </row>
    <row r="45" spans="1:10">
      <c r="B45" t="s">
        <v>48</v>
      </c>
      <c r="C45" s="37"/>
    </row>
    <row r="46" spans="1:10">
      <c r="B46" t="s">
        <v>49</v>
      </c>
      <c r="C46" s="37">
        <v>563.58749999999418</v>
      </c>
    </row>
    <row r="47" spans="1:10">
      <c r="B47" t="s">
        <v>50</v>
      </c>
      <c r="C47" s="37">
        <v>69265.412500000006</v>
      </c>
    </row>
    <row r="48" spans="1:10">
      <c r="C48" s="37"/>
    </row>
    <row r="49" spans="2:3">
      <c r="B49" t="s">
        <v>51</v>
      </c>
      <c r="C49" s="37">
        <v>0</v>
      </c>
    </row>
    <row r="50" spans="2:3">
      <c r="C50" s="37"/>
    </row>
    <row r="51" spans="2:3">
      <c r="C51" s="37"/>
    </row>
    <row r="52" spans="2:3">
      <c r="C52" s="37"/>
    </row>
    <row r="53" spans="2:3">
      <c r="C53" s="37"/>
    </row>
  </sheetData>
  <mergeCells count="1">
    <mergeCell ref="K4:O4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7"/>
  <sheetViews>
    <sheetView workbookViewId="0">
      <selection activeCell="B3" sqref="B3"/>
    </sheetView>
  </sheetViews>
  <sheetFormatPr defaultColWidth="8.85546875" defaultRowHeight="15"/>
  <cols>
    <col min="1" max="1" width="14.28515625" customWidth="1"/>
    <col min="2" max="2" width="24.28515625" customWidth="1"/>
    <col min="3" max="3" width="18" customWidth="1"/>
    <col min="4" max="4" width="11" customWidth="1"/>
    <col min="5" max="5" width="12.28515625" customWidth="1"/>
    <col min="6" max="6" width="11.140625" customWidth="1"/>
    <col min="7" max="7" width="10.7109375" customWidth="1"/>
    <col min="8" max="8" width="12" customWidth="1"/>
    <col min="9" max="9" width="12.28515625" customWidth="1"/>
    <col min="10" max="10" width="14.7109375" customWidth="1"/>
  </cols>
  <sheetData>
    <row r="2" spans="1:15">
      <c r="A2" s="2"/>
      <c r="B2" s="26" t="s">
        <v>52</v>
      </c>
      <c r="C2" s="27"/>
      <c r="D2" s="27"/>
      <c r="E2" s="27"/>
      <c r="F2" s="27"/>
      <c r="G2" s="27"/>
      <c r="H2" s="28"/>
      <c r="I2" s="3"/>
      <c r="J2" s="27"/>
      <c r="K2" s="1"/>
    </row>
    <row r="3" spans="1:15">
      <c r="A3" s="2"/>
      <c r="B3" s="4"/>
      <c r="C3" s="4"/>
      <c r="D3" s="4"/>
      <c r="E3" s="4"/>
      <c r="F3" s="4"/>
      <c r="G3" s="4"/>
      <c r="H3" s="4"/>
      <c r="I3" s="3"/>
      <c r="J3" s="4"/>
      <c r="K3" s="1"/>
    </row>
    <row r="4" spans="1:15" s="31" customFormat="1" ht="25.5" customHeight="1">
      <c r="A4" s="30"/>
      <c r="B4" s="30"/>
      <c r="C4" s="30" t="s">
        <v>1</v>
      </c>
      <c r="D4" s="30" t="s">
        <v>2</v>
      </c>
      <c r="E4" s="32" t="s">
        <v>53</v>
      </c>
      <c r="F4" s="30" t="s">
        <v>54</v>
      </c>
      <c r="G4" s="30" t="s">
        <v>5</v>
      </c>
      <c r="H4" s="30" t="s">
        <v>6</v>
      </c>
      <c r="I4" s="30" t="s">
        <v>7</v>
      </c>
      <c r="J4" s="32" t="s">
        <v>8</v>
      </c>
      <c r="K4" s="38" t="s">
        <v>9</v>
      </c>
      <c r="L4" s="39"/>
      <c r="M4" s="39"/>
      <c r="N4" s="39"/>
      <c r="O4" s="39"/>
    </row>
    <row r="5" spans="1:15" s="1" customFormat="1">
      <c r="A5" s="3"/>
      <c r="B5" s="3" t="s">
        <v>55</v>
      </c>
      <c r="C5" s="3"/>
      <c r="D5" s="36" t="s">
        <v>11</v>
      </c>
      <c r="E5" s="6"/>
      <c r="F5" s="6"/>
      <c r="G5" s="6">
        <v>85725</v>
      </c>
      <c r="H5" s="6">
        <f>G5</f>
        <v>85725</v>
      </c>
      <c r="I5" s="3"/>
      <c r="J5" s="6"/>
      <c r="K5"/>
    </row>
    <row r="6" spans="1:15">
      <c r="A6" s="2"/>
      <c r="B6" s="2"/>
      <c r="C6" s="2"/>
      <c r="D6" s="2"/>
      <c r="E6" s="7"/>
      <c r="F6" s="7"/>
      <c r="G6" s="35" t="s">
        <v>13</v>
      </c>
      <c r="H6" s="7"/>
      <c r="I6" s="2"/>
      <c r="J6" s="7"/>
    </row>
    <row r="7" spans="1:15">
      <c r="A7" s="8"/>
      <c r="B7" s="10" t="s">
        <v>14</v>
      </c>
      <c r="C7" s="8" t="s">
        <v>15</v>
      </c>
      <c r="D7" s="9">
        <v>2522.2824999999998</v>
      </c>
      <c r="E7" s="9"/>
      <c r="F7" s="9">
        <v>2522</v>
      </c>
      <c r="G7" s="9">
        <f>SUM(D7:E7)-F7</f>
        <v>0.28249999999979991</v>
      </c>
      <c r="H7" s="7"/>
      <c r="I7" s="6"/>
      <c r="J7" s="9"/>
      <c r="K7" t="s">
        <v>16</v>
      </c>
    </row>
    <row r="8" spans="1:15">
      <c r="A8" s="8"/>
      <c r="B8" s="10"/>
      <c r="C8" s="8" t="s">
        <v>17</v>
      </c>
      <c r="D8" s="9"/>
      <c r="E8" s="9">
        <v>5609.25</v>
      </c>
      <c r="F8" s="9">
        <f>5775-F7</f>
        <v>3253</v>
      </c>
      <c r="G8" s="9">
        <f>SUM(D8:E8)-F8</f>
        <v>2356.25</v>
      </c>
      <c r="H8" s="7"/>
      <c r="I8" s="2"/>
      <c r="J8" s="9"/>
    </row>
    <row r="9" spans="1:15">
      <c r="A9" s="8"/>
      <c r="B9" s="10"/>
      <c r="C9" s="8"/>
      <c r="D9" s="9"/>
      <c r="E9" s="9"/>
      <c r="F9" s="9"/>
      <c r="G9" s="9"/>
      <c r="H9" s="7"/>
      <c r="I9" s="2"/>
      <c r="J9" s="9"/>
    </row>
    <row r="10" spans="1:15">
      <c r="A10" s="8"/>
      <c r="B10" s="10"/>
      <c r="C10" s="8"/>
      <c r="D10" s="9"/>
      <c r="E10" s="9"/>
      <c r="F10" s="34"/>
      <c r="G10" s="9"/>
      <c r="H10" s="7"/>
      <c r="I10" s="2"/>
      <c r="J10" s="9"/>
    </row>
    <row r="11" spans="1:15">
      <c r="A11" s="8"/>
      <c r="B11" s="10"/>
      <c r="C11" s="8"/>
      <c r="D11" s="9"/>
      <c r="E11" s="9"/>
      <c r="F11" s="9"/>
      <c r="G11" s="9"/>
      <c r="H11" s="7"/>
      <c r="I11" s="2"/>
      <c r="J11" s="9"/>
    </row>
    <row r="12" spans="1:15">
      <c r="A12" s="8"/>
      <c r="B12" s="8" t="s">
        <v>18</v>
      </c>
      <c r="C12" s="8"/>
      <c r="D12" s="9"/>
      <c r="E12" s="9">
        <v>300</v>
      </c>
      <c r="F12" s="9">
        <v>0</v>
      </c>
      <c r="G12" s="9">
        <f>SUM(D12:E12)-F12</f>
        <v>300</v>
      </c>
      <c r="H12" s="7"/>
      <c r="I12" s="2"/>
      <c r="J12" s="9">
        <v>300</v>
      </c>
    </row>
    <row r="13" spans="1:15" s="1" customFormat="1">
      <c r="A13" s="10" t="s">
        <v>19</v>
      </c>
      <c r="B13" s="10"/>
      <c r="C13" s="10"/>
      <c r="D13" s="10"/>
      <c r="E13" s="11"/>
      <c r="F13" s="11"/>
      <c r="G13" s="11">
        <f>SUM(G7:G12)</f>
        <v>2656.5324999999998</v>
      </c>
      <c r="H13" s="6">
        <f>H5-G13</f>
        <v>83068.467499999999</v>
      </c>
      <c r="I13" s="6">
        <f>G13</f>
        <v>2656.5324999999998</v>
      </c>
      <c r="J13" s="11"/>
      <c r="K13"/>
    </row>
    <row r="14" spans="1:15">
      <c r="A14" s="2"/>
      <c r="B14" s="2"/>
      <c r="C14" s="2"/>
      <c r="D14" s="2"/>
      <c r="E14" s="7"/>
      <c r="F14" s="7"/>
      <c r="G14" s="7"/>
      <c r="H14" s="7"/>
      <c r="I14" s="2"/>
      <c r="J14" s="7"/>
    </row>
    <row r="15" spans="1:15">
      <c r="A15" s="12"/>
      <c r="B15" s="12" t="s">
        <v>20</v>
      </c>
      <c r="C15" s="13">
        <v>10000</v>
      </c>
      <c r="D15" s="13">
        <v>6574</v>
      </c>
      <c r="E15" s="13">
        <v>2700</v>
      </c>
      <c r="F15" s="13">
        <v>0</v>
      </c>
      <c r="G15" s="13">
        <f>D15+E15-F15</f>
        <v>9274</v>
      </c>
      <c r="H15" s="7"/>
      <c r="I15" s="7"/>
      <c r="J15" s="13"/>
    </row>
    <row r="16" spans="1:15">
      <c r="A16" s="12"/>
      <c r="B16" s="12" t="s">
        <v>21</v>
      </c>
      <c r="C16" s="13"/>
      <c r="D16" s="13">
        <v>11585</v>
      </c>
      <c r="E16" s="13">
        <v>5775</v>
      </c>
      <c r="F16" s="13">
        <v>2908.46</v>
      </c>
      <c r="G16" s="13">
        <f t="shared" ref="G16:G20" si="0">D16+E16-F16</f>
        <v>14451.54</v>
      </c>
      <c r="H16" s="7"/>
      <c r="I16" s="2"/>
      <c r="J16" s="13"/>
      <c r="K16" t="s">
        <v>56</v>
      </c>
    </row>
    <row r="17" spans="1:11">
      <c r="A17" s="12"/>
      <c r="B17" s="12" t="s">
        <v>23</v>
      </c>
      <c r="C17" s="13">
        <v>3500</v>
      </c>
      <c r="D17" s="13">
        <v>2316</v>
      </c>
      <c r="E17" s="13">
        <v>1183.8900000000001</v>
      </c>
      <c r="F17" s="13">
        <f>5775+533.35</f>
        <v>6308.35</v>
      </c>
      <c r="G17" s="13">
        <v>0</v>
      </c>
      <c r="H17" s="7"/>
      <c r="I17" s="2"/>
      <c r="J17" s="13">
        <f>G17</f>
        <v>0</v>
      </c>
      <c r="K17" t="s">
        <v>24</v>
      </c>
    </row>
    <row r="18" spans="1:11">
      <c r="A18" s="12"/>
      <c r="B18" s="12" t="s">
        <v>25</v>
      </c>
      <c r="C18" s="13">
        <v>5000</v>
      </c>
      <c r="D18" s="13">
        <v>3000</v>
      </c>
      <c r="E18" s="13">
        <v>1000</v>
      </c>
      <c r="F18" s="13">
        <v>0</v>
      </c>
      <c r="G18" s="13">
        <f t="shared" si="0"/>
        <v>4000</v>
      </c>
      <c r="H18" s="7"/>
      <c r="I18" s="2"/>
      <c r="J18" s="13"/>
    </row>
    <row r="19" spans="1:11">
      <c r="A19" s="12"/>
      <c r="B19" s="12" t="s">
        <v>26</v>
      </c>
      <c r="C19" s="13">
        <v>3000</v>
      </c>
      <c r="D19" s="13">
        <v>1910</v>
      </c>
      <c r="E19" s="13">
        <v>1500</v>
      </c>
      <c r="F19" s="13">
        <v>0</v>
      </c>
      <c r="G19" s="13">
        <f t="shared" si="0"/>
        <v>3410</v>
      </c>
      <c r="H19" s="7"/>
      <c r="I19" s="2"/>
      <c r="J19" s="13"/>
    </row>
    <row r="20" spans="1:11">
      <c r="A20" s="12"/>
      <c r="B20" s="12" t="s">
        <v>27</v>
      </c>
      <c r="C20" s="12"/>
      <c r="D20" s="13">
        <v>3527</v>
      </c>
      <c r="E20" s="15"/>
      <c r="F20" s="13">
        <v>553.66</v>
      </c>
      <c r="G20" s="13">
        <f t="shared" si="0"/>
        <v>2973.34</v>
      </c>
      <c r="H20" s="7"/>
      <c r="I20" s="2"/>
      <c r="J20" s="13"/>
    </row>
    <row r="21" spans="1:11">
      <c r="A21" s="12"/>
      <c r="B21" s="12" t="s">
        <v>28</v>
      </c>
      <c r="C21" s="13">
        <v>2500</v>
      </c>
      <c r="D21" s="13">
        <v>5691</v>
      </c>
      <c r="E21" s="13">
        <v>4200</v>
      </c>
      <c r="F21" s="13">
        <v>508.91</v>
      </c>
      <c r="G21" s="13">
        <f>IF(D21+E21-F21&gt;C21,C21,D21+E21-F21)</f>
        <v>2500</v>
      </c>
      <c r="H21" s="7"/>
      <c r="I21" s="2"/>
      <c r="J21" s="13"/>
      <c r="K21" t="s">
        <v>29</v>
      </c>
    </row>
    <row r="22" spans="1:11" s="1" customFormat="1">
      <c r="A22" s="14" t="s">
        <v>57</v>
      </c>
      <c r="B22" s="14"/>
      <c r="C22" s="15">
        <f>SUM(C15:C21)</f>
        <v>24000</v>
      </c>
      <c r="D22" s="14"/>
      <c r="E22" s="15"/>
      <c r="F22" s="15"/>
      <c r="G22" s="15">
        <f>SUM(G15:G21)</f>
        <v>36608.880000000005</v>
      </c>
      <c r="H22" s="6">
        <f>H13-G22</f>
        <v>46459.587499999994</v>
      </c>
      <c r="I22" s="6">
        <f>G22</f>
        <v>36608.880000000005</v>
      </c>
      <c r="J22" s="15"/>
    </row>
    <row r="23" spans="1:11">
      <c r="A23" s="2"/>
      <c r="B23" s="2"/>
      <c r="C23" s="2"/>
      <c r="D23" s="2"/>
      <c r="E23" s="7"/>
      <c r="F23" s="7"/>
      <c r="G23" s="7"/>
      <c r="H23" s="7"/>
      <c r="I23" s="2"/>
      <c r="J23" s="7"/>
    </row>
    <row r="24" spans="1:11">
      <c r="A24" s="16"/>
      <c r="B24" s="17" t="s">
        <v>58</v>
      </c>
      <c r="C24" s="17"/>
      <c r="D24" s="17"/>
      <c r="E24" s="18" t="s">
        <v>59</v>
      </c>
      <c r="F24" s="18" t="s">
        <v>4</v>
      </c>
      <c r="G24" s="18"/>
      <c r="H24" s="7"/>
      <c r="I24" s="2"/>
      <c r="J24" s="18"/>
    </row>
    <row r="25" spans="1:11">
      <c r="A25" s="16"/>
      <c r="B25" s="16"/>
      <c r="C25" s="16"/>
      <c r="D25" s="16"/>
      <c r="E25" s="18">
        <v>37098</v>
      </c>
      <c r="F25" s="18">
        <v>52994</v>
      </c>
      <c r="G25" s="18">
        <f>E25-F25</f>
        <v>-15896</v>
      </c>
      <c r="H25" s="7"/>
      <c r="I25" s="2"/>
      <c r="J25" s="33">
        <f>-G25-SUM(J15:J18)</f>
        <v>15896</v>
      </c>
      <c r="K25" t="s">
        <v>34</v>
      </c>
    </row>
    <row r="26" spans="1:11" s="1" customFormat="1">
      <c r="A26" s="19"/>
      <c r="B26" s="19" t="s">
        <v>60</v>
      </c>
      <c r="C26" s="19"/>
      <c r="D26" s="19"/>
      <c r="E26" s="20"/>
      <c r="F26" s="20" t="s">
        <v>33</v>
      </c>
      <c r="G26" s="20">
        <f>-G25</f>
        <v>15896</v>
      </c>
      <c r="H26" s="6">
        <f>H22-G26</f>
        <v>30563.587499999994</v>
      </c>
      <c r="I26" s="6"/>
      <c r="J26" s="20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1">
      <c r="A28" s="21"/>
      <c r="B28" s="21" t="s">
        <v>61</v>
      </c>
      <c r="C28" s="21"/>
      <c r="D28" s="21"/>
      <c r="E28" s="22">
        <v>30000</v>
      </c>
      <c r="F28" s="22"/>
      <c r="G28" s="22"/>
      <c r="H28" s="7"/>
      <c r="I28" s="2"/>
      <c r="J28" s="22"/>
    </row>
    <row r="29" spans="1:11">
      <c r="A29" s="21"/>
      <c r="B29" s="21" t="s">
        <v>37</v>
      </c>
      <c r="C29" s="21"/>
      <c r="D29" s="21"/>
      <c r="E29" s="22"/>
      <c r="F29" s="22"/>
      <c r="G29" s="22">
        <v>30000</v>
      </c>
      <c r="H29" s="7"/>
      <c r="I29" s="2"/>
      <c r="J29" s="22"/>
      <c r="K29" t="s">
        <v>38</v>
      </c>
    </row>
    <row r="30" spans="1:11" s="1" customFormat="1">
      <c r="A30" s="23" t="s">
        <v>39</v>
      </c>
      <c r="B30" s="23"/>
      <c r="C30" s="23"/>
      <c r="D30" s="23"/>
      <c r="E30" s="24"/>
      <c r="F30" s="24"/>
      <c r="G30" s="24">
        <f>G29</f>
        <v>30000</v>
      </c>
      <c r="H30" s="6">
        <f>H26-G30</f>
        <v>563.58749999999418</v>
      </c>
      <c r="I30" s="6">
        <f>G30</f>
        <v>30000</v>
      </c>
      <c r="J30" s="24"/>
    </row>
    <row r="31" spans="1:11">
      <c r="A31" s="2"/>
      <c r="B31" s="2"/>
      <c r="C31" s="2"/>
      <c r="D31" s="2"/>
      <c r="E31" s="7"/>
      <c r="F31" s="7"/>
      <c r="G31" s="7"/>
      <c r="H31" s="7"/>
      <c r="I31" s="2"/>
      <c r="J31" s="7"/>
    </row>
    <row r="32" spans="1:11">
      <c r="A32" s="3" t="s">
        <v>40</v>
      </c>
      <c r="B32" s="2"/>
      <c r="C32" s="2"/>
      <c r="D32" s="2"/>
      <c r="E32" s="7"/>
      <c r="F32" s="7"/>
      <c r="G32" s="7"/>
      <c r="H32" s="25">
        <f>H30</f>
        <v>563.58749999999418</v>
      </c>
      <c r="I32" s="29">
        <f>SUM(I7:I30)</f>
        <v>69265.412500000006</v>
      </c>
      <c r="J32" s="7">
        <f>SUM(J15:J31)</f>
        <v>15896</v>
      </c>
      <c r="K32" t="s">
        <v>41</v>
      </c>
    </row>
    <row r="33" spans="1:10">
      <c r="A33" s="2"/>
      <c r="B33" s="2"/>
      <c r="C33" s="2"/>
      <c r="D33" s="2"/>
      <c r="E33" s="2"/>
      <c r="F33" s="2"/>
      <c r="G33" s="2"/>
      <c r="H33" s="2"/>
      <c r="I33" s="2"/>
      <c r="J33" s="2"/>
    </row>
    <row r="37" spans="1:10">
      <c r="A37" t="s">
        <v>11</v>
      </c>
      <c r="B37" t="s">
        <v>42</v>
      </c>
    </row>
  </sheetData>
  <mergeCells count="1">
    <mergeCell ref="K4:O4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O34"/>
  <sheetViews>
    <sheetView workbookViewId="0">
      <selection activeCell="G14" sqref="G14"/>
    </sheetView>
  </sheetViews>
  <sheetFormatPr defaultColWidth="8.85546875" defaultRowHeight="15"/>
  <cols>
    <col min="1" max="1" width="14.28515625" customWidth="1"/>
    <col min="2" max="2" width="24.28515625" customWidth="1"/>
    <col min="3" max="3" width="18" customWidth="1"/>
    <col min="4" max="4" width="11" customWidth="1"/>
    <col min="5" max="5" width="12.28515625" customWidth="1"/>
    <col min="6" max="6" width="11.140625" customWidth="1"/>
    <col min="7" max="7" width="10.7109375" customWidth="1"/>
    <col min="8" max="8" width="12" customWidth="1"/>
    <col min="9" max="9" width="12.28515625" customWidth="1"/>
    <col min="10" max="10" width="14.7109375" customWidth="1"/>
  </cols>
  <sheetData>
    <row r="2" spans="1:15">
      <c r="A2" s="2"/>
      <c r="B2" s="26" t="s">
        <v>62</v>
      </c>
      <c r="C2" s="27"/>
      <c r="D2" s="27"/>
      <c r="E2" s="27"/>
      <c r="F2" s="27"/>
      <c r="G2" s="27"/>
      <c r="H2" s="28"/>
      <c r="I2" s="3"/>
      <c r="J2" s="27"/>
      <c r="K2" s="1"/>
    </row>
    <row r="3" spans="1:15">
      <c r="A3" s="2"/>
      <c r="B3" s="4"/>
      <c r="C3" s="4"/>
      <c r="D3" s="4"/>
      <c r="E3" s="4"/>
      <c r="F3" s="4"/>
      <c r="G3" s="4"/>
      <c r="H3" s="4"/>
      <c r="I3" s="3"/>
      <c r="J3" s="4"/>
      <c r="K3" s="1"/>
    </row>
    <row r="4" spans="1:15" s="31" customFormat="1" ht="25.5" customHeight="1">
      <c r="A4" s="30"/>
      <c r="B4" s="30"/>
      <c r="C4" s="30" t="s">
        <v>1</v>
      </c>
      <c r="D4" s="30" t="s">
        <v>2</v>
      </c>
      <c r="E4" s="32" t="s">
        <v>63</v>
      </c>
      <c r="F4" s="30" t="s">
        <v>64</v>
      </c>
      <c r="G4" s="30" t="s">
        <v>5</v>
      </c>
      <c r="H4" s="30" t="s">
        <v>6</v>
      </c>
      <c r="I4" s="30" t="s">
        <v>7</v>
      </c>
      <c r="J4" s="32" t="s">
        <v>65</v>
      </c>
      <c r="K4" s="38" t="s">
        <v>9</v>
      </c>
      <c r="L4" s="39"/>
      <c r="M4" s="39"/>
      <c r="N4" s="39"/>
      <c r="O4" s="39"/>
    </row>
    <row r="5" spans="1:15" s="1" customFormat="1">
      <c r="A5" s="3"/>
      <c r="B5" s="3" t="s">
        <v>66</v>
      </c>
      <c r="C5" s="3"/>
      <c r="D5" s="3"/>
      <c r="E5" s="6"/>
      <c r="F5" s="6"/>
      <c r="G5" s="6">
        <v>73062.679999999993</v>
      </c>
      <c r="H5" s="6">
        <f>G5</f>
        <v>73062.679999999993</v>
      </c>
      <c r="I5" s="3"/>
      <c r="J5" s="6"/>
      <c r="K5"/>
    </row>
    <row r="6" spans="1:15">
      <c r="A6" s="2"/>
      <c r="B6" s="2"/>
      <c r="C6" s="2"/>
      <c r="D6" s="2"/>
      <c r="E6" s="7"/>
      <c r="F6" s="7"/>
      <c r="G6" s="7"/>
      <c r="H6" s="7"/>
      <c r="I6" s="2"/>
      <c r="J6" s="7"/>
    </row>
    <row r="7" spans="1:15">
      <c r="A7" s="8"/>
      <c r="B7" s="10" t="s">
        <v>14</v>
      </c>
      <c r="C7" s="8" t="s">
        <v>67</v>
      </c>
      <c r="D7" s="9"/>
      <c r="E7" s="9">
        <v>2785.39</v>
      </c>
      <c r="F7" s="34">
        <v>0</v>
      </c>
      <c r="G7" s="9">
        <f>SUM(D7:E7)-F7</f>
        <v>2785.39</v>
      </c>
      <c r="H7" s="7"/>
      <c r="I7" s="2"/>
      <c r="J7" s="9"/>
      <c r="K7" t="s">
        <v>16</v>
      </c>
    </row>
    <row r="8" spans="1:15">
      <c r="A8" s="8"/>
      <c r="B8" s="10"/>
      <c r="C8" s="8" t="s">
        <v>68</v>
      </c>
      <c r="D8" s="9"/>
      <c r="E8" s="9">
        <v>5388.8374999999996</v>
      </c>
      <c r="F8" s="9">
        <v>5388.8374999999996</v>
      </c>
      <c r="G8" s="9">
        <f>SUM(D8:E8)-F8</f>
        <v>0</v>
      </c>
      <c r="H8" s="7"/>
      <c r="I8" s="2"/>
      <c r="J8" s="9"/>
    </row>
    <row r="9" spans="1:15">
      <c r="A9" s="8"/>
      <c r="B9" s="10"/>
      <c r="C9" s="8" t="s">
        <v>69</v>
      </c>
      <c r="D9" s="9"/>
      <c r="E9" s="9">
        <v>146.625</v>
      </c>
      <c r="F9" s="9">
        <v>146.625</v>
      </c>
      <c r="G9" s="9">
        <f>SUM(D9:E9)-F9</f>
        <v>0</v>
      </c>
      <c r="H9" s="7"/>
      <c r="I9" s="2"/>
      <c r="J9" s="9"/>
    </row>
    <row r="10" spans="1:15">
      <c r="A10" s="8"/>
      <c r="B10" s="10"/>
      <c r="C10" s="8"/>
      <c r="D10" s="8"/>
      <c r="E10" s="8"/>
      <c r="F10" s="8"/>
      <c r="G10" s="8"/>
      <c r="H10" s="7"/>
      <c r="I10" s="2"/>
      <c r="J10" s="9"/>
    </row>
    <row r="11" spans="1:15">
      <c r="A11" s="8"/>
      <c r="B11" s="10"/>
      <c r="C11" s="8"/>
      <c r="D11" s="8"/>
      <c r="E11" s="8"/>
      <c r="F11" s="8"/>
      <c r="G11" s="8"/>
      <c r="H11" s="7"/>
      <c r="I11" s="2"/>
      <c r="J11" s="9"/>
    </row>
    <row r="12" spans="1:15">
      <c r="A12" s="8"/>
      <c r="B12" s="8" t="s">
        <v>18</v>
      </c>
      <c r="C12" s="8"/>
      <c r="D12" s="9"/>
      <c r="E12" s="9">
        <v>300</v>
      </c>
      <c r="F12" s="9">
        <v>0</v>
      </c>
      <c r="G12" s="9">
        <f>SUM(D12:E12)-F12</f>
        <v>300</v>
      </c>
      <c r="H12" s="7"/>
      <c r="I12" s="2"/>
      <c r="J12" s="9">
        <v>300</v>
      </c>
    </row>
    <row r="13" spans="1:15">
      <c r="A13" s="8"/>
      <c r="B13" s="8" t="s">
        <v>70</v>
      </c>
      <c r="C13" s="8"/>
      <c r="D13" s="9"/>
      <c r="E13" s="9">
        <v>2360</v>
      </c>
      <c r="F13" s="9">
        <v>2360</v>
      </c>
      <c r="G13" s="9">
        <f>SUM(D13:E13)-F13</f>
        <v>0</v>
      </c>
      <c r="H13" s="7"/>
      <c r="I13" s="2"/>
      <c r="J13" s="9"/>
      <c r="K13" t="s">
        <v>71</v>
      </c>
    </row>
    <row r="14" spans="1:15" s="1" customFormat="1">
      <c r="A14" s="10" t="s">
        <v>19</v>
      </c>
      <c r="B14" s="10"/>
      <c r="C14" s="10"/>
      <c r="D14" s="10"/>
      <c r="E14" s="11"/>
      <c r="F14" s="11"/>
      <c r="G14" s="11">
        <f>SUM(G7:G13)</f>
        <v>3085.39</v>
      </c>
      <c r="H14" s="6">
        <f>H5-G14</f>
        <v>69977.289999999994</v>
      </c>
      <c r="I14" s="6">
        <f>G14</f>
        <v>3085.39</v>
      </c>
      <c r="J14" s="11"/>
      <c r="K14"/>
    </row>
    <row r="15" spans="1:15">
      <c r="A15" s="2"/>
      <c r="B15" s="2"/>
      <c r="C15" s="2"/>
      <c r="D15" s="2"/>
      <c r="E15" s="7"/>
      <c r="F15" s="7"/>
      <c r="G15" s="7"/>
      <c r="H15" s="7"/>
      <c r="I15" s="2"/>
      <c r="J15" s="7"/>
    </row>
    <row r="16" spans="1:15">
      <c r="A16" s="12" t="s">
        <v>72</v>
      </c>
      <c r="B16" s="12" t="s">
        <v>73</v>
      </c>
      <c r="C16" s="13">
        <v>3500</v>
      </c>
      <c r="D16" s="13">
        <v>3873.5</v>
      </c>
      <c r="E16" s="13">
        <v>2700</v>
      </c>
      <c r="F16" s="13">
        <v>0</v>
      </c>
      <c r="G16" s="13">
        <f t="shared" ref="G16:G21" si="0">D16+E16-F16</f>
        <v>6573.5</v>
      </c>
      <c r="H16" s="7"/>
      <c r="I16" s="2"/>
      <c r="J16" s="13">
        <f>4815-2700</f>
        <v>2115</v>
      </c>
    </row>
    <row r="17" spans="1:11">
      <c r="A17" s="12"/>
      <c r="B17" s="12" t="s">
        <v>21</v>
      </c>
      <c r="C17" s="13"/>
      <c r="D17" s="13"/>
      <c r="E17" s="13"/>
      <c r="F17" s="13"/>
      <c r="G17" s="13">
        <v>1158</v>
      </c>
      <c r="H17" s="7"/>
      <c r="I17" s="2"/>
      <c r="J17" s="13"/>
      <c r="K17" t="s">
        <v>74</v>
      </c>
    </row>
    <row r="18" spans="1:11">
      <c r="A18" s="12"/>
      <c r="B18" s="12" t="s">
        <v>23</v>
      </c>
      <c r="C18" s="13">
        <v>3500</v>
      </c>
      <c r="D18" s="13">
        <v>1537.6600000000003</v>
      </c>
      <c r="E18" s="13">
        <v>1286</v>
      </c>
      <c r="F18" s="13">
        <v>508</v>
      </c>
      <c r="G18" s="13">
        <f t="shared" si="0"/>
        <v>2315.6600000000003</v>
      </c>
      <c r="H18" s="7"/>
      <c r="I18" s="2"/>
      <c r="J18" s="13">
        <f>G18</f>
        <v>2315.6600000000003</v>
      </c>
    </row>
    <row r="19" spans="1:11">
      <c r="A19" s="12"/>
      <c r="B19" s="12" t="s">
        <v>25</v>
      </c>
      <c r="C19" s="13">
        <v>5000</v>
      </c>
      <c r="D19" s="13">
        <v>2000</v>
      </c>
      <c r="E19" s="13">
        <v>1000</v>
      </c>
      <c r="F19" s="13">
        <v>0</v>
      </c>
      <c r="G19" s="13">
        <f t="shared" si="0"/>
        <v>3000</v>
      </c>
      <c r="H19" s="7"/>
      <c r="I19" s="2"/>
      <c r="J19" s="13"/>
      <c r="K19" t="s">
        <v>75</v>
      </c>
    </row>
    <row r="20" spans="1:11">
      <c r="A20" s="12"/>
      <c r="B20" s="12" t="s">
        <v>26</v>
      </c>
      <c r="C20" s="13">
        <v>2500</v>
      </c>
      <c r="D20" s="13">
        <v>5500</v>
      </c>
      <c r="E20" s="13">
        <v>1000</v>
      </c>
      <c r="F20" s="13">
        <v>4590</v>
      </c>
      <c r="G20" s="13">
        <f t="shared" si="0"/>
        <v>1910</v>
      </c>
      <c r="H20" s="7"/>
      <c r="I20" s="2"/>
      <c r="J20" s="13"/>
    </row>
    <row r="21" spans="1:11">
      <c r="A21" s="12"/>
      <c r="B21" s="12" t="s">
        <v>27</v>
      </c>
      <c r="C21" s="12"/>
      <c r="D21" s="13">
        <v>12900</v>
      </c>
      <c r="E21" s="15"/>
      <c r="F21" s="13">
        <v>9372.93</v>
      </c>
      <c r="G21" s="13">
        <f t="shared" si="0"/>
        <v>3527.0699999999997</v>
      </c>
      <c r="H21" s="7"/>
      <c r="I21" s="2"/>
      <c r="J21" s="13"/>
    </row>
    <row r="22" spans="1:11">
      <c r="A22" s="12"/>
      <c r="B22" s="12" t="s">
        <v>28</v>
      </c>
      <c r="C22" s="13">
        <v>2500</v>
      </c>
      <c r="D22" s="13">
        <v>2000</v>
      </c>
      <c r="E22" s="13">
        <v>4200</v>
      </c>
      <c r="F22" s="13">
        <v>508.91</v>
      </c>
      <c r="G22" s="13">
        <f>D22+E22-F22</f>
        <v>5691.09</v>
      </c>
      <c r="H22" s="7"/>
      <c r="I22" s="2"/>
      <c r="J22" s="13"/>
      <c r="K22" t="s">
        <v>76</v>
      </c>
    </row>
    <row r="23" spans="1:11" s="1" customFormat="1">
      <c r="A23" s="14" t="s">
        <v>57</v>
      </c>
      <c r="B23" s="14"/>
      <c r="C23" s="15">
        <f>SUM(C16:C22)</f>
        <v>17000</v>
      </c>
      <c r="D23" s="14"/>
      <c r="E23" s="15"/>
      <c r="F23" s="15"/>
      <c r="G23" s="15">
        <f>SUM(G16:G22)</f>
        <v>24175.32</v>
      </c>
      <c r="H23" s="6">
        <f>H14-G23</f>
        <v>45801.969999999994</v>
      </c>
      <c r="I23" s="6">
        <f>G23</f>
        <v>24175.32</v>
      </c>
      <c r="J23" s="15"/>
    </row>
    <row r="24" spans="1:11">
      <c r="A24" s="2"/>
      <c r="B24" s="2"/>
      <c r="C24" s="2"/>
      <c r="D24" s="2"/>
      <c r="E24" s="7"/>
      <c r="F24" s="7"/>
      <c r="G24" s="7"/>
      <c r="H24" s="7"/>
      <c r="I24" s="2"/>
      <c r="J24" s="7"/>
    </row>
    <row r="25" spans="1:11">
      <c r="A25" s="16"/>
      <c r="B25" s="17" t="s">
        <v>77</v>
      </c>
      <c r="C25" s="17"/>
      <c r="D25" s="17"/>
      <c r="E25" s="18" t="s">
        <v>78</v>
      </c>
      <c r="F25" s="18" t="s">
        <v>79</v>
      </c>
      <c r="G25" s="18"/>
      <c r="H25" s="7"/>
      <c r="I25" s="2"/>
      <c r="J25" s="18"/>
      <c r="K25" t="s">
        <v>80</v>
      </c>
    </row>
    <row r="26" spans="1:11">
      <c r="A26" s="16"/>
      <c r="B26" s="16"/>
      <c r="C26" s="16"/>
      <c r="D26" s="16"/>
      <c r="E26" s="18">
        <f>G29</f>
        <v>28500</v>
      </c>
      <c r="F26" s="18">
        <v>-34333</v>
      </c>
      <c r="G26" s="18">
        <f>E26+F26</f>
        <v>-5833</v>
      </c>
      <c r="H26" s="7"/>
      <c r="I26" s="2"/>
      <c r="J26" s="33">
        <f>-G26-SUM(J16:J19)</f>
        <v>1402.3400000000001</v>
      </c>
      <c r="K26" t="s">
        <v>34</v>
      </c>
    </row>
    <row r="27" spans="1:11" s="1" customFormat="1">
      <c r="A27" s="19"/>
      <c r="B27" s="19" t="s">
        <v>81</v>
      </c>
      <c r="C27" s="19"/>
      <c r="D27" s="19"/>
      <c r="E27" s="20"/>
      <c r="F27" s="20" t="s">
        <v>33</v>
      </c>
      <c r="G27" s="20">
        <f>-G26</f>
        <v>5833</v>
      </c>
      <c r="H27" s="6">
        <f>H23-G27</f>
        <v>39968.969999999994</v>
      </c>
      <c r="I27" s="6"/>
      <c r="J27" s="20"/>
    </row>
    <row r="28" spans="1:11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1">
      <c r="A29" s="21"/>
      <c r="B29" s="21" t="s">
        <v>82</v>
      </c>
      <c r="C29" s="21"/>
      <c r="D29" s="21"/>
      <c r="E29" s="22"/>
      <c r="F29" s="22"/>
      <c r="G29" s="22">
        <v>28500</v>
      </c>
      <c r="H29" s="7"/>
      <c r="I29" s="2"/>
      <c r="J29" s="22"/>
    </row>
    <row r="30" spans="1:11">
      <c r="A30" s="21"/>
      <c r="B30" s="21" t="s">
        <v>37</v>
      </c>
      <c r="C30" s="21"/>
      <c r="D30" s="21"/>
      <c r="E30" s="22"/>
      <c r="F30" s="22"/>
      <c r="G30" s="22">
        <f>G29</f>
        <v>28500</v>
      </c>
      <c r="H30" s="7"/>
      <c r="I30" s="2"/>
      <c r="J30" s="22"/>
      <c r="K30" t="s">
        <v>38</v>
      </c>
    </row>
    <row r="31" spans="1:11" s="1" customFormat="1">
      <c r="A31" s="23" t="s">
        <v>39</v>
      </c>
      <c r="B31" s="23"/>
      <c r="C31" s="23"/>
      <c r="D31" s="23"/>
      <c r="E31" s="24"/>
      <c r="F31" s="24"/>
      <c r="G31" s="24">
        <f>IF(G30&lt;H27,G30,H27)</f>
        <v>28500</v>
      </c>
      <c r="H31" s="6">
        <f>H27-G31</f>
        <v>11468.969999999994</v>
      </c>
      <c r="I31" s="6">
        <f>G31</f>
        <v>28500</v>
      </c>
      <c r="J31" s="24"/>
    </row>
    <row r="32" spans="1:11">
      <c r="A32" s="2"/>
      <c r="B32" s="2"/>
      <c r="C32" s="2"/>
      <c r="D32" s="2"/>
      <c r="E32" s="7"/>
      <c r="F32" s="7"/>
      <c r="G32" s="7"/>
      <c r="H32" s="7"/>
      <c r="I32" s="2"/>
      <c r="J32" s="7"/>
    </row>
    <row r="33" spans="1:10">
      <c r="A33" s="3" t="s">
        <v>40</v>
      </c>
      <c r="B33" s="2"/>
      <c r="C33" s="2"/>
      <c r="D33" s="2"/>
      <c r="E33" s="7"/>
      <c r="F33" s="7"/>
      <c r="G33" s="7"/>
      <c r="H33" s="25">
        <f>H31</f>
        <v>11468.969999999994</v>
      </c>
      <c r="I33" s="29">
        <f>SUM(I7:I31)</f>
        <v>55760.71</v>
      </c>
      <c r="J33" s="7">
        <f>SUM(J16:J32)</f>
        <v>5833</v>
      </c>
    </row>
    <row r="34" spans="1:10">
      <c r="A34" s="2"/>
      <c r="B34" s="2"/>
      <c r="C34" s="2"/>
      <c r="D34" s="2"/>
      <c r="E34" s="2"/>
      <c r="F34" s="2"/>
      <c r="G34" s="2"/>
      <c r="H34" s="2"/>
      <c r="I34" s="2"/>
      <c r="J34" s="2"/>
    </row>
  </sheetData>
  <mergeCells count="1">
    <mergeCell ref="K4:O4"/>
  </mergeCells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O29"/>
  <sheetViews>
    <sheetView workbookViewId="0">
      <selection activeCell="G17" sqref="G12:G17"/>
    </sheetView>
  </sheetViews>
  <sheetFormatPr defaultColWidth="8.85546875" defaultRowHeight="15"/>
  <cols>
    <col min="1" max="1" width="14.28515625" customWidth="1"/>
    <col min="2" max="2" width="24.28515625" customWidth="1"/>
    <col min="3" max="3" width="18" customWidth="1"/>
    <col min="4" max="4" width="11" customWidth="1"/>
    <col min="5" max="5" width="12.28515625" customWidth="1"/>
    <col min="6" max="6" width="11.140625" customWidth="1"/>
    <col min="7" max="7" width="10.7109375" customWidth="1"/>
    <col min="8" max="8" width="12" customWidth="1"/>
    <col min="9" max="9" width="12.28515625" customWidth="1"/>
    <col min="10" max="10" width="14.7109375" customWidth="1"/>
  </cols>
  <sheetData>
    <row r="2" spans="1:15">
      <c r="A2" s="2"/>
      <c r="B2" s="26" t="s">
        <v>83</v>
      </c>
      <c r="C2" s="27"/>
      <c r="D2" s="27"/>
      <c r="E2" s="27"/>
      <c r="F2" s="27"/>
      <c r="G2" s="27"/>
      <c r="H2" s="28"/>
      <c r="I2" s="3"/>
      <c r="J2" s="27"/>
      <c r="K2" s="1"/>
    </row>
    <row r="3" spans="1:15">
      <c r="A3" s="2"/>
      <c r="B3" s="4"/>
      <c r="C3" s="4"/>
      <c r="D3" s="4"/>
      <c r="E3" s="4"/>
      <c r="F3" s="4"/>
      <c r="G3" s="4"/>
      <c r="H3" s="4"/>
      <c r="I3" s="3"/>
      <c r="J3" s="4"/>
      <c r="K3" s="1"/>
    </row>
    <row r="4" spans="1:15" s="31" customFormat="1" ht="25.5" customHeight="1">
      <c r="A4" s="30"/>
      <c r="B4" s="30"/>
      <c r="C4" s="30" t="s">
        <v>1</v>
      </c>
      <c r="D4" s="30" t="s">
        <v>2</v>
      </c>
      <c r="E4" s="32" t="s">
        <v>84</v>
      </c>
      <c r="F4" s="30" t="s">
        <v>85</v>
      </c>
      <c r="G4" s="30" t="s">
        <v>5</v>
      </c>
      <c r="H4" s="30" t="s">
        <v>6</v>
      </c>
      <c r="I4" s="30" t="s">
        <v>7</v>
      </c>
      <c r="J4" s="32" t="s">
        <v>86</v>
      </c>
      <c r="K4" s="38" t="s">
        <v>87</v>
      </c>
      <c r="L4" s="39"/>
      <c r="M4" s="39"/>
      <c r="N4" s="39"/>
      <c r="O4" s="39"/>
    </row>
    <row r="5" spans="1:15" s="1" customFormat="1">
      <c r="A5" s="3"/>
      <c r="B5" s="3" t="s">
        <v>88</v>
      </c>
      <c r="C5" s="3"/>
      <c r="D5" s="3"/>
      <c r="E5" s="6"/>
      <c r="F5" s="6"/>
      <c r="G5" s="6">
        <v>67145.17</v>
      </c>
      <c r="H5" s="6">
        <v>67145.17</v>
      </c>
      <c r="I5" s="3"/>
      <c r="J5" s="6"/>
      <c r="K5"/>
    </row>
    <row r="6" spans="1:15">
      <c r="A6" s="2"/>
      <c r="B6" s="2"/>
      <c r="C6" s="2"/>
      <c r="D6" s="2"/>
      <c r="E6" s="7"/>
      <c r="F6" s="7"/>
      <c r="G6" s="7"/>
      <c r="H6" s="7"/>
      <c r="I6" s="2"/>
      <c r="J6" s="7"/>
    </row>
    <row r="7" spans="1:15">
      <c r="A7" s="8"/>
      <c r="B7" s="8" t="s">
        <v>14</v>
      </c>
      <c r="C7" s="8"/>
      <c r="D7" s="9">
        <v>0</v>
      </c>
      <c r="E7" s="9">
        <v>5786</v>
      </c>
      <c r="F7" s="9">
        <v>0</v>
      </c>
      <c r="G7" s="9">
        <f>SUM(D7:E7)-F7</f>
        <v>5786</v>
      </c>
      <c r="H7" s="7"/>
      <c r="I7" s="2"/>
      <c r="J7" s="9"/>
      <c r="K7" t="s">
        <v>89</v>
      </c>
    </row>
    <row r="8" spans="1:15">
      <c r="A8" s="8"/>
      <c r="B8" s="8" t="s">
        <v>18</v>
      </c>
      <c r="C8" s="8"/>
      <c r="D8" s="9"/>
      <c r="E8" s="9">
        <v>300</v>
      </c>
      <c r="F8" s="9">
        <v>0</v>
      </c>
      <c r="G8" s="9">
        <f>SUM(D8:E8)-F8</f>
        <v>300</v>
      </c>
      <c r="H8" s="7"/>
      <c r="I8" s="2"/>
      <c r="J8" s="9">
        <v>300</v>
      </c>
    </row>
    <row r="9" spans="1:15">
      <c r="A9" s="8"/>
      <c r="B9" s="8" t="s">
        <v>70</v>
      </c>
      <c r="C9" s="8"/>
      <c r="D9" s="9"/>
      <c r="E9" s="9">
        <v>5000</v>
      </c>
      <c r="F9" s="9">
        <v>5000</v>
      </c>
      <c r="G9" s="9">
        <f>SUM(D9:E9)-F9</f>
        <v>0</v>
      </c>
      <c r="H9" s="7"/>
      <c r="I9" s="2"/>
      <c r="J9" s="9"/>
      <c r="K9" t="s">
        <v>71</v>
      </c>
    </row>
    <row r="10" spans="1:15" s="1" customFormat="1">
      <c r="A10" s="10" t="s">
        <v>19</v>
      </c>
      <c r="B10" s="10"/>
      <c r="C10" s="10"/>
      <c r="D10" s="10"/>
      <c r="E10" s="11"/>
      <c r="F10" s="11"/>
      <c r="G10" s="11">
        <f>SUM(G7:G9)</f>
        <v>6086</v>
      </c>
      <c r="H10" s="6">
        <f>H5-G10</f>
        <v>61059.17</v>
      </c>
      <c r="I10" s="6">
        <f>G10</f>
        <v>6086</v>
      </c>
      <c r="J10" s="11"/>
      <c r="K10"/>
    </row>
    <row r="11" spans="1:15">
      <c r="A11" s="2"/>
      <c r="B11" s="2"/>
      <c r="C11" s="2"/>
      <c r="D11" s="2"/>
      <c r="E11" s="7"/>
      <c r="F11" s="7"/>
      <c r="G11" s="7"/>
      <c r="H11" s="7"/>
      <c r="I11" s="2"/>
      <c r="J11" s="7"/>
    </row>
    <row r="12" spans="1:15">
      <c r="A12" s="12"/>
      <c r="B12" s="12" t="s">
        <v>73</v>
      </c>
      <c r="C12" s="13">
        <v>3500</v>
      </c>
      <c r="D12" s="13">
        <v>6173.5</v>
      </c>
      <c r="E12" s="13">
        <v>2700</v>
      </c>
      <c r="F12" s="13">
        <v>0</v>
      </c>
      <c r="G12" s="13">
        <f>SUM(D12:E12)-F12-5000</f>
        <v>3873.5</v>
      </c>
      <c r="H12" s="7"/>
      <c r="I12" s="2"/>
      <c r="J12" s="13"/>
      <c r="K12" t="s">
        <v>90</v>
      </c>
    </row>
    <row r="13" spans="1:15">
      <c r="A13" s="12"/>
      <c r="B13" s="12" t="s">
        <v>23</v>
      </c>
      <c r="C13" s="13"/>
      <c r="D13" s="13">
        <v>1134.26</v>
      </c>
      <c r="E13" s="13">
        <v>1286</v>
      </c>
      <c r="F13" s="13">
        <v>882.6</v>
      </c>
      <c r="G13" s="13">
        <f>SUM(D13:E13)-F13</f>
        <v>1537.6600000000003</v>
      </c>
      <c r="H13" s="7"/>
      <c r="I13" s="2"/>
      <c r="J13" s="13"/>
    </row>
    <row r="14" spans="1:15">
      <c r="A14" s="12"/>
      <c r="B14" s="12" t="s">
        <v>25</v>
      </c>
      <c r="C14" s="13">
        <v>3000</v>
      </c>
      <c r="D14" s="13">
        <v>1000</v>
      </c>
      <c r="E14" s="13">
        <v>1000</v>
      </c>
      <c r="F14" s="13">
        <v>0</v>
      </c>
      <c r="G14" s="13">
        <f>SUM(D14:E14)-F14</f>
        <v>2000</v>
      </c>
      <c r="H14" s="7"/>
      <c r="I14" s="2"/>
      <c r="J14" s="13"/>
      <c r="K14" t="s">
        <v>75</v>
      </c>
    </row>
    <row r="15" spans="1:15">
      <c r="A15" s="12"/>
      <c r="B15" s="12" t="s">
        <v>26</v>
      </c>
      <c r="C15" s="13">
        <v>1000</v>
      </c>
      <c r="D15" s="13"/>
      <c r="E15" s="13">
        <v>500</v>
      </c>
      <c r="F15" s="13">
        <v>0</v>
      </c>
      <c r="G15" s="13">
        <f>SUM(D15:E15)-F15+5000</f>
        <v>5500</v>
      </c>
      <c r="H15" s="7"/>
      <c r="I15" s="2"/>
      <c r="J15" s="13">
        <v>3500</v>
      </c>
      <c r="K15" t="s">
        <v>91</v>
      </c>
    </row>
    <row r="16" spans="1:15">
      <c r="A16" s="12"/>
      <c r="B16" s="12" t="s">
        <v>27</v>
      </c>
      <c r="C16" s="12"/>
      <c r="D16" s="13"/>
      <c r="E16" s="13">
        <v>12900</v>
      </c>
      <c r="F16" s="13">
        <v>6042.6</v>
      </c>
      <c r="G16" s="13">
        <f>SUM(D16:E16)-F16</f>
        <v>6857.4</v>
      </c>
      <c r="H16" s="7"/>
      <c r="I16" s="2"/>
      <c r="J16" s="13">
        <v>7500</v>
      </c>
    </row>
    <row r="17" spans="1:11">
      <c r="A17" s="12"/>
      <c r="B17" s="12" t="s">
        <v>28</v>
      </c>
      <c r="C17" s="12"/>
      <c r="D17" s="13"/>
      <c r="E17" s="13">
        <v>2000</v>
      </c>
      <c r="F17" s="13">
        <v>508.91</v>
      </c>
      <c r="G17" s="13">
        <f>SUM(D17:E17)-F17</f>
        <v>1491.09</v>
      </c>
      <c r="H17" s="7"/>
      <c r="I17" s="2"/>
      <c r="J17" s="13"/>
      <c r="K17" t="s">
        <v>76</v>
      </c>
    </row>
    <row r="18" spans="1:11" s="1" customFormat="1">
      <c r="A18" s="14" t="s">
        <v>57</v>
      </c>
      <c r="B18" s="14"/>
      <c r="C18" s="15">
        <f>SUM(C12:C17)</f>
        <v>7500</v>
      </c>
      <c r="D18" s="14"/>
      <c r="E18" s="15"/>
      <c r="F18" s="15"/>
      <c r="G18" s="15">
        <f>SUM(G12:G17)</f>
        <v>21259.649999999998</v>
      </c>
      <c r="H18" s="6">
        <f>H10-G18</f>
        <v>39799.520000000004</v>
      </c>
      <c r="I18" s="6">
        <f>G18</f>
        <v>21259.649999999998</v>
      </c>
      <c r="J18" s="15"/>
    </row>
    <row r="19" spans="1:11">
      <c r="A19" s="2"/>
      <c r="B19" s="2"/>
      <c r="C19" s="2"/>
      <c r="D19" s="2"/>
      <c r="E19" s="7"/>
      <c r="F19" s="7"/>
      <c r="G19" s="7"/>
      <c r="H19" s="7"/>
      <c r="I19" s="2"/>
      <c r="J19" s="7"/>
    </row>
    <row r="20" spans="1:11">
      <c r="A20" s="16"/>
      <c r="B20" s="17" t="s">
        <v>92</v>
      </c>
      <c r="C20" s="17"/>
      <c r="D20" s="17"/>
      <c r="E20" s="18" t="s">
        <v>93</v>
      </c>
      <c r="F20" s="18" t="s">
        <v>94</v>
      </c>
      <c r="G20" s="18"/>
      <c r="H20" s="7"/>
      <c r="I20" s="2"/>
      <c r="J20" s="18"/>
      <c r="K20" t="s">
        <v>80</v>
      </c>
    </row>
    <row r="21" spans="1:11">
      <c r="A21" s="16"/>
      <c r="B21" s="16"/>
      <c r="C21" s="16"/>
      <c r="D21" s="16"/>
      <c r="E21" s="18">
        <f>G24</f>
        <v>28000</v>
      </c>
      <c r="F21" s="18">
        <v>32699.303428156902</v>
      </c>
      <c r="G21" s="18">
        <f>E21-F21</f>
        <v>-4699.3034281569016</v>
      </c>
      <c r="H21" s="7"/>
      <c r="I21" s="2"/>
      <c r="J21" s="18"/>
      <c r="K21" t="s">
        <v>95</v>
      </c>
    </row>
    <row r="22" spans="1:11" s="1" customFormat="1">
      <c r="A22" s="19"/>
      <c r="B22" s="19" t="s">
        <v>96</v>
      </c>
      <c r="C22" s="19"/>
      <c r="D22" s="19"/>
      <c r="E22" s="20"/>
      <c r="F22" s="20"/>
      <c r="G22" s="20">
        <f>-G21</f>
        <v>4699.3034281569016</v>
      </c>
      <c r="H22" s="6">
        <f>H18-G22</f>
        <v>35100.216571843106</v>
      </c>
      <c r="I22" s="6"/>
      <c r="J22" s="20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1">
      <c r="A24" s="21"/>
      <c r="B24" s="21" t="s">
        <v>97</v>
      </c>
      <c r="C24" s="21"/>
      <c r="D24" s="21"/>
      <c r="E24" s="22"/>
      <c r="F24" s="22"/>
      <c r="G24" s="22">
        <v>28000</v>
      </c>
      <c r="H24" s="7"/>
      <c r="I24" s="2"/>
      <c r="J24" s="22"/>
    </row>
    <row r="25" spans="1:11">
      <c r="A25" s="21"/>
      <c r="B25" s="21" t="s">
        <v>37</v>
      </c>
      <c r="C25" s="21"/>
      <c r="D25" s="21"/>
      <c r="E25" s="22"/>
      <c r="F25" s="22"/>
      <c r="G25" s="22">
        <f>G24</f>
        <v>28000</v>
      </c>
      <c r="H25" s="7"/>
      <c r="I25" s="2"/>
      <c r="J25" s="22"/>
    </row>
    <row r="26" spans="1:11" s="1" customFormat="1">
      <c r="A26" s="23" t="s">
        <v>39</v>
      </c>
      <c r="B26" s="23"/>
      <c r="C26" s="23"/>
      <c r="D26" s="23"/>
      <c r="E26" s="24"/>
      <c r="F26" s="24"/>
      <c r="G26" s="24">
        <f>IF(G25&lt;H22,G25,H22)</f>
        <v>28000</v>
      </c>
      <c r="H26" s="6">
        <f>H22-G26</f>
        <v>7100.2165718431061</v>
      </c>
      <c r="I26" s="6">
        <f>G26</f>
        <v>28000</v>
      </c>
      <c r="J26" s="24"/>
    </row>
    <row r="27" spans="1:11">
      <c r="A27" s="2"/>
      <c r="B27" s="2"/>
      <c r="C27" s="2"/>
      <c r="D27" s="2"/>
      <c r="E27" s="7"/>
      <c r="F27" s="7"/>
      <c r="G27" s="7"/>
      <c r="H27" s="7"/>
      <c r="I27" s="2"/>
      <c r="J27" s="7"/>
    </row>
    <row r="28" spans="1:11">
      <c r="A28" s="3" t="s">
        <v>40</v>
      </c>
      <c r="B28" s="2"/>
      <c r="C28" s="2"/>
      <c r="D28" s="2"/>
      <c r="E28" s="7"/>
      <c r="F28" s="7"/>
      <c r="G28" s="7"/>
      <c r="H28" s="25">
        <f>H26</f>
        <v>7100.2165718431061</v>
      </c>
      <c r="I28" s="29">
        <f>SUM(I7:I26)</f>
        <v>55345.649999999994</v>
      </c>
      <c r="J28" s="7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2"/>
    </row>
  </sheetData>
  <mergeCells count="1">
    <mergeCell ref="K4:O4"/>
  </mergeCells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J28"/>
  <sheetViews>
    <sheetView workbookViewId="0">
      <selection activeCell="B31" sqref="B31"/>
    </sheetView>
  </sheetViews>
  <sheetFormatPr defaultColWidth="8.85546875" defaultRowHeight="15"/>
  <cols>
    <col min="1" max="1" width="14.28515625" customWidth="1"/>
    <col min="2" max="2" width="24.28515625" customWidth="1"/>
    <col min="3" max="3" width="11" customWidth="1"/>
    <col min="4" max="4" width="12.28515625" customWidth="1"/>
    <col min="5" max="5" width="11.140625" customWidth="1"/>
    <col min="6" max="6" width="10.7109375" customWidth="1"/>
    <col min="7" max="7" width="12" customWidth="1"/>
    <col min="8" max="8" width="12.28515625" customWidth="1"/>
  </cols>
  <sheetData>
    <row r="2" spans="1:10">
      <c r="A2" s="2"/>
      <c r="B2" s="26" t="s">
        <v>98</v>
      </c>
      <c r="C2" s="27"/>
      <c r="D2" s="27"/>
      <c r="E2" s="27"/>
      <c r="F2" s="27"/>
      <c r="G2" s="28"/>
      <c r="H2" s="3"/>
      <c r="I2" s="1"/>
    </row>
    <row r="3" spans="1:10">
      <c r="A3" s="2"/>
      <c r="B3" s="4"/>
      <c r="C3" s="4"/>
      <c r="D3" s="4"/>
      <c r="E3" s="4"/>
      <c r="F3" s="4"/>
      <c r="G3" s="4"/>
      <c r="H3" s="3"/>
      <c r="I3" s="1"/>
    </row>
    <row r="4" spans="1:10">
      <c r="A4" s="2"/>
      <c r="B4" s="2"/>
      <c r="C4" s="5" t="s">
        <v>2</v>
      </c>
      <c r="D4" s="5" t="s">
        <v>99</v>
      </c>
      <c r="E4" s="5" t="s">
        <v>100</v>
      </c>
      <c r="F4" s="5" t="s">
        <v>5</v>
      </c>
      <c r="G4" s="2" t="s">
        <v>6</v>
      </c>
      <c r="H4" s="2" t="s">
        <v>7</v>
      </c>
    </row>
    <row r="5" spans="1:10" s="1" customFormat="1">
      <c r="A5" s="3"/>
      <c r="B5" s="3" t="s">
        <v>101</v>
      </c>
      <c r="C5" s="3"/>
      <c r="D5" s="6"/>
      <c r="E5" s="6"/>
      <c r="F5" s="6">
        <v>57829.07</v>
      </c>
      <c r="G5" s="6">
        <f>F5+F7</f>
        <v>62213.07</v>
      </c>
      <c r="H5" s="3"/>
      <c r="I5" t="s">
        <v>102</v>
      </c>
    </row>
    <row r="6" spans="1:10">
      <c r="A6" s="2"/>
      <c r="B6" s="2"/>
      <c r="C6" s="2"/>
      <c r="D6" s="7"/>
      <c r="E6" s="7"/>
      <c r="F6" s="7"/>
      <c r="G6" s="7"/>
      <c r="H6" s="2"/>
    </row>
    <row r="7" spans="1:10">
      <c r="A7" s="8"/>
      <c r="B7" s="8" t="s">
        <v>103</v>
      </c>
      <c r="C7" s="9">
        <v>0</v>
      </c>
      <c r="D7" s="9">
        <v>4384</v>
      </c>
      <c r="E7" s="9">
        <v>0</v>
      </c>
      <c r="F7" s="9">
        <v>4384</v>
      </c>
      <c r="G7" s="7"/>
      <c r="H7" s="2"/>
      <c r="I7" t="s">
        <v>89</v>
      </c>
    </row>
    <row r="8" spans="1:10">
      <c r="A8" s="8"/>
      <c r="B8" s="8" t="s">
        <v>18</v>
      </c>
      <c r="C8" s="9"/>
      <c r="D8" s="9">
        <v>300</v>
      </c>
      <c r="E8" s="9"/>
      <c r="F8" s="9">
        <f>SUM(C8:D8)-E8</f>
        <v>300</v>
      </c>
      <c r="G8" s="7"/>
      <c r="H8" s="2"/>
    </row>
    <row r="9" spans="1:10">
      <c r="A9" s="8"/>
      <c r="B9" s="8" t="s">
        <v>70</v>
      </c>
      <c r="C9" s="9"/>
      <c r="D9" s="9">
        <v>5000</v>
      </c>
      <c r="E9" s="9"/>
      <c r="F9" s="9">
        <f>SUM(C9:D9)-E9</f>
        <v>5000</v>
      </c>
      <c r="G9" s="7"/>
      <c r="H9" s="2"/>
      <c r="I9" t="s">
        <v>71</v>
      </c>
    </row>
    <row r="10" spans="1:10" s="1" customFormat="1">
      <c r="A10" s="10" t="s">
        <v>19</v>
      </c>
      <c r="B10" s="10"/>
      <c r="C10" s="10"/>
      <c r="D10" s="11"/>
      <c r="E10" s="11"/>
      <c r="F10" s="11">
        <f>SUM(F7:F9)</f>
        <v>9684</v>
      </c>
      <c r="G10" s="6">
        <f>G5-F10</f>
        <v>52529.07</v>
      </c>
      <c r="H10" s="6">
        <f>F10</f>
        <v>9684</v>
      </c>
      <c r="I10"/>
    </row>
    <row r="11" spans="1:10">
      <c r="A11" s="2"/>
      <c r="B11" s="2"/>
      <c r="C11" s="2"/>
      <c r="D11" s="7"/>
      <c r="E11" s="7"/>
      <c r="F11" s="7"/>
      <c r="G11" s="7"/>
      <c r="H11" s="2"/>
    </row>
    <row r="12" spans="1:10">
      <c r="A12" s="12"/>
      <c r="B12" s="12" t="s">
        <v>104</v>
      </c>
      <c r="C12" s="13">
        <v>3865</v>
      </c>
      <c r="D12" s="13">
        <v>2700</v>
      </c>
      <c r="E12" s="13">
        <f>391.5</f>
        <v>391.5</v>
      </c>
      <c r="F12" s="13">
        <f>SUM(C12:D12)-E12</f>
        <v>6173.5</v>
      </c>
      <c r="G12" s="7"/>
      <c r="H12" s="2"/>
    </row>
    <row r="13" spans="1:10">
      <c r="A13" s="12"/>
      <c r="B13" s="12" t="s">
        <v>23</v>
      </c>
      <c r="C13" s="13">
        <v>796</v>
      </c>
      <c r="D13" s="13">
        <v>1286</v>
      </c>
      <c r="E13" s="13">
        <f>877.12+70.62</f>
        <v>947.74</v>
      </c>
      <c r="F13" s="13">
        <f>SUM(C13:D13)-E13</f>
        <v>1134.26</v>
      </c>
      <c r="G13" s="7"/>
      <c r="H13" s="2"/>
    </row>
    <row r="14" spans="1:10">
      <c r="A14" s="12"/>
      <c r="B14" s="12" t="s">
        <v>25</v>
      </c>
      <c r="C14" s="13">
        <v>0</v>
      </c>
      <c r="D14" s="13">
        <v>0</v>
      </c>
      <c r="E14" s="13">
        <v>-1000</v>
      </c>
      <c r="F14" s="13">
        <f>SUM(C14:D14)-E14</f>
        <v>1000</v>
      </c>
      <c r="G14" s="7"/>
      <c r="H14" s="2"/>
      <c r="I14" t="s">
        <v>75</v>
      </c>
    </row>
    <row r="15" spans="1:10">
      <c r="A15" s="12"/>
      <c r="B15" s="12" t="s">
        <v>28</v>
      </c>
      <c r="C15" s="13"/>
      <c r="D15" s="13"/>
      <c r="E15" s="13"/>
      <c r="F15" s="13"/>
      <c r="G15" s="7"/>
      <c r="H15" s="2"/>
      <c r="J15" t="s">
        <v>105</v>
      </c>
    </row>
    <row r="16" spans="1:10" s="1" customFormat="1">
      <c r="A16" s="14" t="s">
        <v>57</v>
      </c>
      <c r="B16" s="14"/>
      <c r="C16" s="14"/>
      <c r="D16" s="15"/>
      <c r="E16" s="15"/>
      <c r="F16" s="15">
        <f>SUM(F12:F15)</f>
        <v>8307.76</v>
      </c>
      <c r="G16" s="6">
        <f>G10-F16</f>
        <v>44221.31</v>
      </c>
      <c r="H16" s="6">
        <f>F16</f>
        <v>8307.76</v>
      </c>
    </row>
    <row r="17" spans="1:10">
      <c r="A17" s="2"/>
      <c r="B17" s="2"/>
      <c r="C17" s="2"/>
      <c r="D17" s="7"/>
      <c r="E17" s="7"/>
      <c r="F17" s="7"/>
      <c r="G17" s="7"/>
      <c r="H17" s="2"/>
    </row>
    <row r="18" spans="1:10">
      <c r="A18" s="16"/>
      <c r="B18" s="17" t="s">
        <v>106</v>
      </c>
      <c r="C18" s="17"/>
      <c r="D18" s="18" t="s">
        <v>107</v>
      </c>
      <c r="E18" s="18" t="s">
        <v>85</v>
      </c>
      <c r="F18" s="18"/>
      <c r="G18" s="7"/>
      <c r="H18" s="2"/>
      <c r="J18" t="s">
        <v>108</v>
      </c>
    </row>
    <row r="19" spans="1:10">
      <c r="A19" s="16"/>
      <c r="B19" s="16"/>
      <c r="C19" s="16"/>
      <c r="D19" s="18">
        <f>13964+F22+2031</f>
        <v>42315</v>
      </c>
      <c r="E19" s="18">
        <f>46666+5008+300</f>
        <v>51974</v>
      </c>
      <c r="F19" s="18">
        <f>D19-E19</f>
        <v>-9659</v>
      </c>
      <c r="G19" s="7"/>
      <c r="H19" s="2"/>
      <c r="J19" t="s">
        <v>109</v>
      </c>
    </row>
    <row r="20" spans="1:10" s="1" customFormat="1">
      <c r="A20" s="19"/>
      <c r="B20" s="19" t="s">
        <v>110</v>
      </c>
      <c r="C20" s="19"/>
      <c r="D20" s="20"/>
      <c r="E20" s="20"/>
      <c r="F20" s="20">
        <f>-F19</f>
        <v>9659</v>
      </c>
      <c r="G20" s="6">
        <f>G16-F20</f>
        <v>34562.31</v>
      </c>
      <c r="H20" s="6"/>
    </row>
    <row r="21" spans="1:10">
      <c r="A21" s="2"/>
      <c r="B21" s="2"/>
      <c r="C21" s="2"/>
      <c r="D21" s="2"/>
      <c r="E21" s="2"/>
      <c r="F21" s="2"/>
      <c r="G21" s="2"/>
      <c r="H21" s="2"/>
    </row>
    <row r="22" spans="1:10">
      <c r="A22" s="21"/>
      <c r="B22" s="21" t="s">
        <v>111</v>
      </c>
      <c r="C22" s="21"/>
      <c r="D22" s="22"/>
      <c r="E22" s="22"/>
      <c r="F22" s="22">
        <v>26320</v>
      </c>
      <c r="G22" s="7"/>
      <c r="H22" s="2"/>
    </row>
    <row r="23" spans="1:10">
      <c r="A23" s="21"/>
      <c r="B23" s="21" t="s">
        <v>37</v>
      </c>
      <c r="C23" s="21"/>
      <c r="D23" s="22"/>
      <c r="E23" s="22"/>
      <c r="F23" s="22">
        <f>F22</f>
        <v>26320</v>
      </c>
      <c r="G23" s="7"/>
      <c r="H23" s="2"/>
    </row>
    <row r="24" spans="1:10">
      <c r="A24" s="21"/>
      <c r="B24" s="21" t="s">
        <v>112</v>
      </c>
      <c r="C24" s="21"/>
      <c r="D24" s="22"/>
      <c r="E24" s="22"/>
      <c r="F24" s="22">
        <v>0</v>
      </c>
      <c r="G24" s="7"/>
      <c r="H24" s="2"/>
    </row>
    <row r="25" spans="1:10" s="1" customFormat="1">
      <c r="A25" s="23" t="s">
        <v>39</v>
      </c>
      <c r="B25" s="23"/>
      <c r="C25" s="23"/>
      <c r="D25" s="24"/>
      <c r="E25" s="24"/>
      <c r="F25" s="24">
        <f>IF(F23&lt;G20,F23,G20)-F24</f>
        <v>26320</v>
      </c>
      <c r="G25" s="6">
        <f>G20-F25</f>
        <v>8242.3099999999977</v>
      </c>
      <c r="H25" s="6">
        <f>F25</f>
        <v>26320</v>
      </c>
    </row>
    <row r="26" spans="1:10">
      <c r="A26" s="2"/>
      <c r="B26" s="2"/>
      <c r="C26" s="2"/>
      <c r="D26" s="7"/>
      <c r="E26" s="7"/>
      <c r="F26" s="7"/>
      <c r="G26" s="7"/>
      <c r="H26" s="2"/>
    </row>
    <row r="27" spans="1:10">
      <c r="A27" s="3" t="s">
        <v>40</v>
      </c>
      <c r="B27" s="2"/>
      <c r="C27" s="2"/>
      <c r="D27" s="7"/>
      <c r="E27" s="7"/>
      <c r="F27" s="7"/>
      <c r="G27" s="25">
        <f>G25</f>
        <v>8242.3099999999977</v>
      </c>
      <c r="H27" s="29">
        <f>SUM(H7:H25)</f>
        <v>44311.76</v>
      </c>
    </row>
    <row r="28" spans="1:10">
      <c r="A28" s="2"/>
      <c r="B28" s="2"/>
      <c r="C28" s="2"/>
      <c r="D28" s="2"/>
      <c r="E28" s="2"/>
      <c r="F28" s="2"/>
      <c r="G28" s="2"/>
      <c r="H28" s="2"/>
    </row>
  </sheetData>
  <sheetProtection sheet="1" objects="1" scenarios="1"/>
  <pageMargins left="0.7" right="0.7" top="0.75" bottom="0.75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28"/>
  <sheetViews>
    <sheetView workbookViewId="0">
      <selection activeCell="F6" sqref="F6"/>
    </sheetView>
  </sheetViews>
  <sheetFormatPr defaultColWidth="8.85546875" defaultRowHeight="15"/>
  <cols>
    <col min="1" max="1" width="14.28515625" customWidth="1"/>
    <col min="2" max="2" width="24.28515625" customWidth="1"/>
    <col min="3" max="3" width="11" customWidth="1"/>
    <col min="4" max="4" width="12.28515625" customWidth="1"/>
    <col min="5" max="5" width="11.140625" customWidth="1"/>
    <col min="6" max="6" width="10.7109375" customWidth="1"/>
    <col min="7" max="7" width="12" customWidth="1"/>
  </cols>
  <sheetData>
    <row r="2" spans="1:10">
      <c r="A2" s="2"/>
      <c r="B2" s="40" t="s">
        <v>113</v>
      </c>
      <c r="C2" s="40"/>
      <c r="D2" s="40"/>
      <c r="E2" s="40"/>
      <c r="F2" s="40"/>
      <c r="G2" s="40"/>
      <c r="H2" s="3"/>
      <c r="I2" s="1"/>
    </row>
    <row r="3" spans="1:10">
      <c r="A3" s="2"/>
      <c r="B3" s="4"/>
      <c r="C3" s="4"/>
      <c r="D3" s="4"/>
      <c r="E3" s="4"/>
      <c r="F3" s="4"/>
      <c r="G3" s="4"/>
      <c r="H3" s="3"/>
      <c r="I3" s="1"/>
    </row>
    <row r="4" spans="1:10">
      <c r="A4" s="2"/>
      <c r="B4" s="2"/>
      <c r="C4" s="5" t="s">
        <v>2</v>
      </c>
      <c r="D4" s="5" t="s">
        <v>114</v>
      </c>
      <c r="E4" s="5" t="s">
        <v>115</v>
      </c>
      <c r="F4" s="5" t="s">
        <v>5</v>
      </c>
      <c r="G4" s="2" t="s">
        <v>116</v>
      </c>
      <c r="H4" s="2"/>
    </row>
    <row r="5" spans="1:10" s="1" customFormat="1">
      <c r="A5" s="3"/>
      <c r="B5" s="3" t="s">
        <v>117</v>
      </c>
      <c r="C5" s="3"/>
      <c r="D5" s="6"/>
      <c r="E5" s="6"/>
      <c r="F5" s="6">
        <v>42033</v>
      </c>
      <c r="G5" s="6">
        <f>F5+F9</f>
        <v>46290</v>
      </c>
      <c r="H5" s="3"/>
      <c r="I5" t="s">
        <v>118</v>
      </c>
    </row>
    <row r="6" spans="1:10">
      <c r="A6" s="2"/>
      <c r="B6" s="2"/>
      <c r="C6" s="2"/>
      <c r="D6" s="7"/>
      <c r="E6" s="7"/>
      <c r="F6" s="7"/>
      <c r="G6" s="7"/>
      <c r="H6" s="2"/>
    </row>
    <row r="7" spans="1:10">
      <c r="A7" s="8"/>
      <c r="B7" s="8" t="s">
        <v>119</v>
      </c>
      <c r="C7" s="9">
        <v>741</v>
      </c>
      <c r="D7" s="9">
        <v>0</v>
      </c>
      <c r="E7" s="9">
        <v>1118</v>
      </c>
      <c r="F7" s="9">
        <f>SUM(C7:D7)-E7</f>
        <v>-377</v>
      </c>
      <c r="G7" s="2"/>
      <c r="H7" s="2"/>
      <c r="I7" t="s">
        <v>120</v>
      </c>
    </row>
    <row r="8" spans="1:10">
      <c r="A8" s="8"/>
      <c r="B8" s="8" t="s">
        <v>121</v>
      </c>
      <c r="C8" s="9">
        <v>0</v>
      </c>
      <c r="D8" s="9">
        <v>0</v>
      </c>
      <c r="E8" s="9">
        <v>0</v>
      </c>
      <c r="F8" s="9">
        <f>SUM(C8:D8)-E8</f>
        <v>0</v>
      </c>
      <c r="G8" s="7"/>
      <c r="H8" s="2"/>
      <c r="I8" t="s">
        <v>122</v>
      </c>
    </row>
    <row r="9" spans="1:10">
      <c r="A9" s="8"/>
      <c r="B9" s="8" t="s">
        <v>123</v>
      </c>
      <c r="C9" s="9">
        <v>0</v>
      </c>
      <c r="D9" s="9">
        <v>4257</v>
      </c>
      <c r="E9" s="9">
        <v>0</v>
      </c>
      <c r="F9" s="9">
        <f>SUM(C9:D9)-E9</f>
        <v>4257</v>
      </c>
      <c r="G9" s="7"/>
      <c r="H9" s="2"/>
      <c r="I9" t="s">
        <v>124</v>
      </c>
    </row>
    <row r="10" spans="1:10">
      <c r="A10" s="8"/>
      <c r="B10" s="8" t="s">
        <v>125</v>
      </c>
      <c r="C10" s="9">
        <v>0</v>
      </c>
      <c r="D10" s="9">
        <v>1200</v>
      </c>
      <c r="E10" s="9">
        <v>0</v>
      </c>
      <c r="F10" s="9">
        <f>SUM(C10:D10)-E10</f>
        <v>1200</v>
      </c>
      <c r="G10" s="7"/>
      <c r="H10" s="2"/>
    </row>
    <row r="11" spans="1:10" s="1" customFormat="1">
      <c r="A11" s="10" t="s">
        <v>19</v>
      </c>
      <c r="B11" s="10"/>
      <c r="C11" s="10"/>
      <c r="D11" s="11"/>
      <c r="E11" s="11"/>
      <c r="F11" s="11">
        <f>SUM(F7:F10)+377</f>
        <v>5457</v>
      </c>
      <c r="G11" s="6">
        <f>G5-F11</f>
        <v>40833</v>
      </c>
      <c r="H11" s="3"/>
      <c r="I11" t="s">
        <v>126</v>
      </c>
    </row>
    <row r="12" spans="1:10">
      <c r="A12" s="2"/>
      <c r="B12" s="2"/>
      <c r="C12" s="2"/>
      <c r="D12" s="7"/>
      <c r="E12" s="7"/>
      <c r="F12" s="7"/>
      <c r="G12" s="7"/>
      <c r="H12" s="2"/>
    </row>
    <row r="13" spans="1:10">
      <c r="A13" s="12"/>
      <c r="B13" s="12" t="s">
        <v>104</v>
      </c>
      <c r="C13" s="13">
        <v>2265</v>
      </c>
      <c r="D13" s="13">
        <v>2700</v>
      </c>
      <c r="E13" s="13">
        <v>1100</v>
      </c>
      <c r="F13" s="13">
        <f>SUM(C13:D13)-E13</f>
        <v>3865</v>
      </c>
      <c r="G13" s="7"/>
      <c r="H13" s="2"/>
    </row>
    <row r="14" spans="1:10">
      <c r="A14" s="12"/>
      <c r="B14" s="12" t="s">
        <v>23</v>
      </c>
      <c r="C14" s="13">
        <v>764</v>
      </c>
      <c r="D14" s="13">
        <v>638</v>
      </c>
      <c r="E14" s="13">
        <v>606</v>
      </c>
      <c r="F14" s="13">
        <f>SUM(C14:D14)-E14</f>
        <v>796</v>
      </c>
      <c r="G14" s="7"/>
      <c r="H14" s="2"/>
    </row>
    <row r="15" spans="1:10">
      <c r="A15" s="12"/>
      <c r="B15" s="12" t="s">
        <v>28</v>
      </c>
      <c r="C15" s="13"/>
      <c r="D15" s="13"/>
      <c r="E15" s="13"/>
      <c r="F15" s="13"/>
      <c r="G15" s="7"/>
      <c r="H15" s="2"/>
      <c r="J15" t="s">
        <v>105</v>
      </c>
    </row>
    <row r="16" spans="1:10" s="1" customFormat="1">
      <c r="A16" s="14" t="s">
        <v>57</v>
      </c>
      <c r="B16" s="14"/>
      <c r="C16" s="14"/>
      <c r="D16" s="15"/>
      <c r="E16" s="15"/>
      <c r="F16" s="15">
        <f>SUM(F13:F15)</f>
        <v>4661</v>
      </c>
      <c r="G16" s="6">
        <f>G11-F16</f>
        <v>36172</v>
      </c>
      <c r="H16" s="3"/>
    </row>
    <row r="17" spans="1:9">
      <c r="A17" s="2"/>
      <c r="B17" s="2"/>
      <c r="C17" s="2"/>
      <c r="D17" s="7"/>
      <c r="E17" s="7"/>
      <c r="F17" s="7"/>
      <c r="G17" s="7"/>
      <c r="H17" s="2"/>
    </row>
    <row r="18" spans="1:9">
      <c r="A18" s="16"/>
      <c r="B18" s="17" t="s">
        <v>127</v>
      </c>
      <c r="C18" s="17"/>
      <c r="D18" s="18" t="s">
        <v>99</v>
      </c>
      <c r="E18" s="18" t="s">
        <v>100</v>
      </c>
      <c r="F18" s="18"/>
      <c r="G18" s="7"/>
      <c r="H18" s="2"/>
    </row>
    <row r="19" spans="1:9">
      <c r="A19" s="16"/>
      <c r="B19" s="16"/>
      <c r="C19" s="16"/>
      <c r="D19" s="18">
        <f>10780-1200+25750</f>
        <v>35330</v>
      </c>
      <c r="E19" s="18">
        <f>45148-F11</f>
        <v>39691</v>
      </c>
      <c r="F19" s="18">
        <f>D19-E19</f>
        <v>-4361</v>
      </c>
      <c r="G19" s="7"/>
      <c r="H19" s="2"/>
      <c r="I19" t="s">
        <v>128</v>
      </c>
    </row>
    <row r="20" spans="1:9" s="1" customFormat="1">
      <c r="A20" s="19"/>
      <c r="B20" s="19" t="s">
        <v>129</v>
      </c>
      <c r="C20" s="19"/>
      <c r="D20" s="20"/>
      <c r="E20" s="20"/>
      <c r="F20" s="20">
        <f>-F19</f>
        <v>4361</v>
      </c>
      <c r="G20" s="6">
        <f>G16-F20</f>
        <v>31811</v>
      </c>
      <c r="H20" s="3"/>
    </row>
    <row r="21" spans="1:9">
      <c r="A21" s="2"/>
      <c r="B21" s="2"/>
      <c r="C21" s="2"/>
      <c r="D21" s="2"/>
      <c r="E21" s="2"/>
      <c r="F21" s="2"/>
      <c r="G21" s="2"/>
      <c r="H21" s="2"/>
    </row>
    <row r="22" spans="1:9">
      <c r="A22" s="21"/>
      <c r="B22" s="21" t="s">
        <v>130</v>
      </c>
      <c r="C22" s="21"/>
      <c r="D22" s="22"/>
      <c r="E22" s="22"/>
      <c r="F22" s="22">
        <v>25750</v>
      </c>
      <c r="G22" s="7"/>
      <c r="H22" s="2"/>
    </row>
    <row r="23" spans="1:9">
      <c r="A23" s="21"/>
      <c r="B23" s="21" t="s">
        <v>37</v>
      </c>
      <c r="C23" s="21"/>
      <c r="D23" s="22"/>
      <c r="E23" s="22"/>
      <c r="F23" s="22">
        <f>F22</f>
        <v>25750</v>
      </c>
      <c r="G23" s="7"/>
      <c r="H23" s="2"/>
    </row>
    <row r="24" spans="1:9">
      <c r="A24" s="21"/>
      <c r="B24" s="21" t="s">
        <v>131</v>
      </c>
      <c r="C24" s="21"/>
      <c r="D24" s="22"/>
      <c r="E24" s="22"/>
      <c r="F24" s="22">
        <v>1000</v>
      </c>
      <c r="G24" s="7"/>
      <c r="H24" s="2"/>
    </row>
    <row r="25" spans="1:9" s="1" customFormat="1">
      <c r="A25" s="23" t="s">
        <v>39</v>
      </c>
      <c r="B25" s="23"/>
      <c r="C25" s="23"/>
      <c r="D25" s="24"/>
      <c r="E25" s="24"/>
      <c r="F25" s="24">
        <f>IF(F23&lt;G20,F23,G20)-F24</f>
        <v>24750</v>
      </c>
      <c r="G25" s="6">
        <f>G20-F25</f>
        <v>7061</v>
      </c>
      <c r="H25" s="3"/>
    </row>
    <row r="26" spans="1:9">
      <c r="A26" s="2"/>
      <c r="B26" s="2"/>
      <c r="C26" s="2"/>
      <c r="D26" s="7"/>
      <c r="E26" s="7"/>
      <c r="F26" s="7"/>
      <c r="G26" s="7"/>
      <c r="H26" s="2"/>
    </row>
    <row r="27" spans="1:9">
      <c r="A27" s="3" t="s">
        <v>40</v>
      </c>
      <c r="B27" s="2"/>
      <c r="C27" s="2"/>
      <c r="D27" s="7"/>
      <c r="E27" s="7"/>
      <c r="F27" s="7"/>
      <c r="G27" s="25">
        <f>G25</f>
        <v>7061</v>
      </c>
      <c r="H27" s="2"/>
    </row>
    <row r="28" spans="1:9">
      <c r="A28" s="2"/>
      <c r="B28" s="2"/>
      <c r="C28" s="2"/>
      <c r="D28" s="2"/>
      <c r="E28" s="2"/>
      <c r="F28" s="2"/>
      <c r="G28" s="2"/>
      <c r="H28" s="2"/>
    </row>
  </sheetData>
  <mergeCells count="1">
    <mergeCell ref="B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Charles</dc:creator>
  <cp:keywords/>
  <dc:description/>
  <cp:lastModifiedBy>Guest User</cp:lastModifiedBy>
  <cp:revision/>
  <dcterms:created xsi:type="dcterms:W3CDTF">2019-10-07T10:54:26Z</dcterms:created>
  <dcterms:modified xsi:type="dcterms:W3CDTF">2025-05-21T17:12:24Z</dcterms:modified>
  <cp:category/>
  <cp:contentStatus/>
</cp:coreProperties>
</file>